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Stavební rozpočet" sheetId="1" r:id="rId1"/>
    <sheet name="Stavební rozpočet - součet" sheetId="2" r:id="rId2"/>
    <sheet name="Krycí list rozpočtu" sheetId="3" r:id="rId3"/>
  </sheets>
  <calcPr calcId="125725"/>
</workbook>
</file>

<file path=xl/calcChain.xml><?xml version="1.0" encoding="utf-8"?>
<calcChain xmlns="http://schemas.openxmlformats.org/spreadsheetml/2006/main">
  <c r="F22" i="3"/>
  <c r="I22"/>
  <c r="S12" i="1"/>
  <c r="U12"/>
  <c r="W12"/>
  <c r="J13"/>
  <c r="L13"/>
  <c r="L12" s="1"/>
  <c r="N13"/>
  <c r="O12" s="1"/>
  <c r="Y13"/>
  <c r="Z13"/>
  <c r="AI12" s="1"/>
  <c r="AA13"/>
  <c r="AD13"/>
  <c r="H13" s="1"/>
  <c r="AE13"/>
  <c r="AM13" s="1"/>
  <c r="AL13"/>
  <c r="S14"/>
  <c r="U14"/>
  <c r="W14"/>
  <c r="J15"/>
  <c r="AA15" s="1"/>
  <c r="L15"/>
  <c r="L14" s="1"/>
  <c r="N15"/>
  <c r="O14" s="1"/>
  <c r="Y15"/>
  <c r="AH14" s="1"/>
  <c r="Z15"/>
  <c r="AI14" s="1"/>
  <c r="AD15"/>
  <c r="H15" s="1"/>
  <c r="H14" s="1"/>
  <c r="AE15"/>
  <c r="AL15"/>
  <c r="AM15"/>
  <c r="S16"/>
  <c r="U16"/>
  <c r="W16"/>
  <c r="J17"/>
  <c r="AA17" s="1"/>
  <c r="AJ16" s="1"/>
  <c r="L17"/>
  <c r="N17"/>
  <c r="Y17"/>
  <c r="Z17"/>
  <c r="AD17"/>
  <c r="H17" s="1"/>
  <c r="AE17"/>
  <c r="AM17" s="1"/>
  <c r="AL17"/>
  <c r="J18"/>
  <c r="L18"/>
  <c r="N18"/>
  <c r="Y18"/>
  <c r="Z18"/>
  <c r="AA18"/>
  <c r="AD18"/>
  <c r="H18" s="1"/>
  <c r="I18" s="1"/>
  <c r="AE18"/>
  <c r="AM18" s="1"/>
  <c r="AL18"/>
  <c r="J19"/>
  <c r="AA19" s="1"/>
  <c r="L19"/>
  <c r="N19"/>
  <c r="Y19"/>
  <c r="Z19"/>
  <c r="AD19"/>
  <c r="H19" s="1"/>
  <c r="I19" s="1"/>
  <c r="AE19"/>
  <c r="AM19" s="1"/>
  <c r="AL19"/>
  <c r="J20"/>
  <c r="L20"/>
  <c r="N20"/>
  <c r="Y20"/>
  <c r="Z20"/>
  <c r="AA20"/>
  <c r="AD20"/>
  <c r="H20" s="1"/>
  <c r="I20" s="1"/>
  <c r="AE20"/>
  <c r="AM20" s="1"/>
  <c r="AL20"/>
  <c r="J21"/>
  <c r="L21"/>
  <c r="N21"/>
  <c r="Y21"/>
  <c r="Z21"/>
  <c r="AA21"/>
  <c r="AD21"/>
  <c r="H21" s="1"/>
  <c r="I21" s="1"/>
  <c r="AE21"/>
  <c r="AM21" s="1"/>
  <c r="AL21"/>
  <c r="J22"/>
  <c r="L22"/>
  <c r="N22"/>
  <c r="Y22"/>
  <c r="Z22"/>
  <c r="AA22"/>
  <c r="AD22"/>
  <c r="H22" s="1"/>
  <c r="I22" s="1"/>
  <c r="AE22"/>
  <c r="AM22" s="1"/>
  <c r="AL22"/>
  <c r="J23"/>
  <c r="L23"/>
  <c r="N23"/>
  <c r="Y23"/>
  <c r="Z23"/>
  <c r="AA23"/>
  <c r="AD23"/>
  <c r="H23" s="1"/>
  <c r="I23" s="1"/>
  <c r="AE23"/>
  <c r="AM23" s="1"/>
  <c r="AL23"/>
  <c r="S24"/>
  <c r="U24"/>
  <c r="W24"/>
  <c r="J25"/>
  <c r="L25"/>
  <c r="L24" s="1"/>
  <c r="N25"/>
  <c r="O24" s="1"/>
  <c r="Y25"/>
  <c r="AH24" s="1"/>
  <c r="Z25"/>
  <c r="AI24" s="1"/>
  <c r="AD25"/>
  <c r="H25" s="1"/>
  <c r="H24" s="1"/>
  <c r="AE25"/>
  <c r="AM25" s="1"/>
  <c r="AL25"/>
  <c r="S26"/>
  <c r="U26"/>
  <c r="W26"/>
  <c r="J27"/>
  <c r="L27"/>
  <c r="N27"/>
  <c r="O26" s="1"/>
  <c r="Y27"/>
  <c r="Z27"/>
  <c r="AA27"/>
  <c r="AD27"/>
  <c r="H27" s="1"/>
  <c r="AE27"/>
  <c r="AL27"/>
  <c r="AM27"/>
  <c r="J28"/>
  <c r="L28"/>
  <c r="N28"/>
  <c r="Y28"/>
  <c r="Z28"/>
  <c r="AA28"/>
  <c r="AD28"/>
  <c r="H28" s="1"/>
  <c r="I28" s="1"/>
  <c r="AE28"/>
  <c r="AL28"/>
  <c r="AM28"/>
  <c r="S29"/>
  <c r="U29"/>
  <c r="W29"/>
  <c r="J30"/>
  <c r="AA30" s="1"/>
  <c r="L30"/>
  <c r="N30"/>
  <c r="Y30"/>
  <c r="Z30"/>
  <c r="AD30"/>
  <c r="H30" s="1"/>
  <c r="AE30"/>
  <c r="AM30" s="1"/>
  <c r="AL30"/>
  <c r="J31"/>
  <c r="AA31" s="1"/>
  <c r="L31"/>
  <c r="L29" s="1"/>
  <c r="N31"/>
  <c r="Y31"/>
  <c r="Z31"/>
  <c r="AD31"/>
  <c r="H31" s="1"/>
  <c r="AE31"/>
  <c r="AM31" s="1"/>
  <c r="AL31"/>
  <c r="S32"/>
  <c r="U32"/>
  <c r="W32"/>
  <c r="J33"/>
  <c r="AA33" s="1"/>
  <c r="L33"/>
  <c r="N33"/>
  <c r="O32" s="1"/>
  <c r="Y33"/>
  <c r="Z33"/>
  <c r="AD33"/>
  <c r="H33" s="1"/>
  <c r="AE33"/>
  <c r="AM33" s="1"/>
  <c r="AL33"/>
  <c r="J34"/>
  <c r="L34"/>
  <c r="N34"/>
  <c r="Y34"/>
  <c r="Z34"/>
  <c r="AA34"/>
  <c r="AD34"/>
  <c r="H34" s="1"/>
  <c r="I34" s="1"/>
  <c r="AE34"/>
  <c r="AM34" s="1"/>
  <c r="AL34"/>
  <c r="J35"/>
  <c r="AA35" s="1"/>
  <c r="L35"/>
  <c r="N35"/>
  <c r="Y35"/>
  <c r="Z35"/>
  <c r="AD35"/>
  <c r="H35" s="1"/>
  <c r="I35" s="1"/>
  <c r="AE35"/>
  <c r="AM35" s="1"/>
  <c r="AL35"/>
  <c r="J36"/>
  <c r="L36"/>
  <c r="N36"/>
  <c r="Y36"/>
  <c r="Z36"/>
  <c r="AA36"/>
  <c r="AD36"/>
  <c r="H36" s="1"/>
  <c r="I36" s="1"/>
  <c r="AE36"/>
  <c r="AM36" s="1"/>
  <c r="AL36"/>
  <c r="L37"/>
  <c r="S37"/>
  <c r="U37"/>
  <c r="W37"/>
  <c r="J38"/>
  <c r="L38"/>
  <c r="N38"/>
  <c r="O37" s="1"/>
  <c r="Y38"/>
  <c r="AH37" s="1"/>
  <c r="Z38"/>
  <c r="AI37" s="1"/>
  <c r="AD38"/>
  <c r="H38" s="1"/>
  <c r="H37" s="1"/>
  <c r="AE38"/>
  <c r="AL38"/>
  <c r="AM38"/>
  <c r="S39"/>
  <c r="U39"/>
  <c r="W39"/>
  <c r="J40"/>
  <c r="L40"/>
  <c r="N40"/>
  <c r="O39" s="1"/>
  <c r="Y40"/>
  <c r="Z40"/>
  <c r="AA40"/>
  <c r="AD40"/>
  <c r="H40" s="1"/>
  <c r="AE40"/>
  <c r="AL40"/>
  <c r="AM40"/>
  <c r="J41"/>
  <c r="L41"/>
  <c r="N41"/>
  <c r="Y41"/>
  <c r="Z41"/>
  <c r="AA41"/>
  <c r="AD41"/>
  <c r="H41" s="1"/>
  <c r="I41" s="1"/>
  <c r="AE41"/>
  <c r="AL41"/>
  <c r="AM41"/>
  <c r="S42"/>
  <c r="U42"/>
  <c r="W42"/>
  <c r="J43"/>
  <c r="AA43" s="1"/>
  <c r="L43"/>
  <c r="L42" s="1"/>
  <c r="N43"/>
  <c r="Y43"/>
  <c r="Z43"/>
  <c r="AD43"/>
  <c r="AL43" s="1"/>
  <c r="AE43"/>
  <c r="AM43"/>
  <c r="J44"/>
  <c r="AA44" s="1"/>
  <c r="L44"/>
  <c r="N44"/>
  <c r="Y44"/>
  <c r="Z44"/>
  <c r="AD44"/>
  <c r="AL44" s="1"/>
  <c r="AE44"/>
  <c r="AM44"/>
  <c r="S45"/>
  <c r="U45"/>
  <c r="W45"/>
  <c r="J46"/>
  <c r="L46"/>
  <c r="N46"/>
  <c r="O45" s="1"/>
  <c r="Y46"/>
  <c r="Z46"/>
  <c r="AA46"/>
  <c r="AD46"/>
  <c r="H46" s="1"/>
  <c r="AE46"/>
  <c r="AM46" s="1"/>
  <c r="AL46"/>
  <c r="J47"/>
  <c r="AA47" s="1"/>
  <c r="L47"/>
  <c r="N47"/>
  <c r="Y47"/>
  <c r="Z47"/>
  <c r="AD47"/>
  <c r="H47" s="1"/>
  <c r="I47" s="1"/>
  <c r="AE47"/>
  <c r="AM47" s="1"/>
  <c r="J48"/>
  <c r="AA48" s="1"/>
  <c r="L48"/>
  <c r="N48"/>
  <c r="Y48"/>
  <c r="Z48"/>
  <c r="AD48"/>
  <c r="H48" s="1"/>
  <c r="I48" s="1"/>
  <c r="AE48"/>
  <c r="AM48" s="1"/>
  <c r="S49"/>
  <c r="U49"/>
  <c r="W49"/>
  <c r="J50"/>
  <c r="L50"/>
  <c r="N50"/>
  <c r="Y50"/>
  <c r="Z50"/>
  <c r="AD50"/>
  <c r="H50" s="1"/>
  <c r="AE50"/>
  <c r="AM50" s="1"/>
  <c r="AL50"/>
  <c r="J51"/>
  <c r="L51"/>
  <c r="L49" s="1"/>
  <c r="N51"/>
  <c r="Y51"/>
  <c r="Z51"/>
  <c r="AD51"/>
  <c r="H51" s="1"/>
  <c r="AE51"/>
  <c r="AM51" s="1"/>
  <c r="AL51"/>
  <c r="J52"/>
  <c r="L52"/>
  <c r="N52"/>
  <c r="Y52"/>
  <c r="Z52"/>
  <c r="AD52"/>
  <c r="H52" s="1"/>
  <c r="AE52"/>
  <c r="AL52"/>
  <c r="AM52"/>
  <c r="S53"/>
  <c r="U53"/>
  <c r="W53"/>
  <c r="J54"/>
  <c r="L54"/>
  <c r="N54"/>
  <c r="O53" s="1"/>
  <c r="Y54"/>
  <c r="Z54"/>
  <c r="AA54"/>
  <c r="AD54"/>
  <c r="H54" s="1"/>
  <c r="AE54"/>
  <c r="AL54"/>
  <c r="AM54"/>
  <c r="J55"/>
  <c r="L55"/>
  <c r="N55"/>
  <c r="Y55"/>
  <c r="Z55"/>
  <c r="AA55"/>
  <c r="AD55"/>
  <c r="H55" s="1"/>
  <c r="I55" s="1"/>
  <c r="AE55"/>
  <c r="AL55"/>
  <c r="AM55"/>
  <c r="J56"/>
  <c r="L56"/>
  <c r="N56"/>
  <c r="Y56"/>
  <c r="Z56"/>
  <c r="AA56"/>
  <c r="AD56"/>
  <c r="AL56" s="1"/>
  <c r="AE56"/>
  <c r="AM56" s="1"/>
  <c r="S57"/>
  <c r="U57"/>
  <c r="W57"/>
  <c r="J58"/>
  <c r="AA58" s="1"/>
  <c r="L58"/>
  <c r="N58"/>
  <c r="Y58"/>
  <c r="Z58"/>
  <c r="AD58"/>
  <c r="AL58" s="1"/>
  <c r="AE58"/>
  <c r="AM58" s="1"/>
  <c r="J59"/>
  <c r="AA59" s="1"/>
  <c r="L59"/>
  <c r="N59"/>
  <c r="Y59"/>
  <c r="Z59"/>
  <c r="AD59"/>
  <c r="AL59" s="1"/>
  <c r="AE59"/>
  <c r="AM59"/>
  <c r="J60"/>
  <c r="AA60" s="1"/>
  <c r="L60"/>
  <c r="N60"/>
  <c r="Y60"/>
  <c r="Z60"/>
  <c r="AD60"/>
  <c r="AL60" s="1"/>
  <c r="AE60"/>
  <c r="AM60" s="1"/>
  <c r="J61"/>
  <c r="AA61" s="1"/>
  <c r="L61"/>
  <c r="N61"/>
  <c r="Y61"/>
  <c r="Z61"/>
  <c r="AD61"/>
  <c r="AL61" s="1"/>
  <c r="AE61"/>
  <c r="AM61" s="1"/>
  <c r="J62"/>
  <c r="AA62" s="1"/>
  <c r="L62"/>
  <c r="N62"/>
  <c r="Y62"/>
  <c r="Z62"/>
  <c r="AD62"/>
  <c r="AL62" s="1"/>
  <c r="AE62"/>
  <c r="AM62" s="1"/>
  <c r="J63"/>
  <c r="AA63" s="1"/>
  <c r="L63"/>
  <c r="N63"/>
  <c r="Y63"/>
  <c r="Z63"/>
  <c r="AD63"/>
  <c r="AL63" s="1"/>
  <c r="AE63"/>
  <c r="AM63" s="1"/>
  <c r="J64"/>
  <c r="AA64" s="1"/>
  <c r="L64"/>
  <c r="N64"/>
  <c r="Y64"/>
  <c r="Z64"/>
  <c r="AD64"/>
  <c r="AL64" s="1"/>
  <c r="AE64"/>
  <c r="AM64" s="1"/>
  <c r="J65"/>
  <c r="AA65" s="1"/>
  <c r="L65"/>
  <c r="N65"/>
  <c r="Y65"/>
  <c r="Z65"/>
  <c r="AD65"/>
  <c r="AL65" s="1"/>
  <c r="AE65"/>
  <c r="AM65" s="1"/>
  <c r="J66"/>
  <c r="AA66" s="1"/>
  <c r="L66"/>
  <c r="N66"/>
  <c r="Y66"/>
  <c r="Z66"/>
  <c r="AD66"/>
  <c r="AL66" s="1"/>
  <c r="AE66"/>
  <c r="AM66" s="1"/>
  <c r="J67"/>
  <c r="AA67" s="1"/>
  <c r="L67"/>
  <c r="N67"/>
  <c r="Y67"/>
  <c r="Z67"/>
  <c r="AD67"/>
  <c r="AL67" s="1"/>
  <c r="AE67"/>
  <c r="AM67" s="1"/>
  <c r="J68"/>
  <c r="AA68" s="1"/>
  <c r="L68"/>
  <c r="N68"/>
  <c r="Y68"/>
  <c r="Z68"/>
  <c r="AD68"/>
  <c r="AL68" s="1"/>
  <c r="AE68"/>
  <c r="AM68" s="1"/>
  <c r="J69"/>
  <c r="AA69" s="1"/>
  <c r="L69"/>
  <c r="N69"/>
  <c r="Y69"/>
  <c r="Z69"/>
  <c r="AD69"/>
  <c r="AL69" s="1"/>
  <c r="AE69"/>
  <c r="AM69" s="1"/>
  <c r="J70"/>
  <c r="AA70" s="1"/>
  <c r="L70"/>
  <c r="N70"/>
  <c r="Y70"/>
  <c r="Z70"/>
  <c r="AD70"/>
  <c r="AL70" s="1"/>
  <c r="AE70"/>
  <c r="AM70" s="1"/>
  <c r="J71"/>
  <c r="AA71" s="1"/>
  <c r="L71"/>
  <c r="N71"/>
  <c r="Y71"/>
  <c r="Z71"/>
  <c r="AD71"/>
  <c r="AL71" s="1"/>
  <c r="AE71"/>
  <c r="AM71" s="1"/>
  <c r="J72"/>
  <c r="AA72" s="1"/>
  <c r="L72"/>
  <c r="N72"/>
  <c r="Y72"/>
  <c r="Z72"/>
  <c r="AD72"/>
  <c r="AL72" s="1"/>
  <c r="AE72"/>
  <c r="AM72" s="1"/>
  <c r="J73"/>
  <c r="AA73" s="1"/>
  <c r="L73"/>
  <c r="N73"/>
  <c r="Y73"/>
  <c r="Z73"/>
  <c r="AD73"/>
  <c r="AL73" s="1"/>
  <c r="AE73"/>
  <c r="AM73" s="1"/>
  <c r="J74"/>
  <c r="AA74" s="1"/>
  <c r="L74"/>
  <c r="N74"/>
  <c r="Y74"/>
  <c r="Z74"/>
  <c r="AD74"/>
  <c r="AL74" s="1"/>
  <c r="AE74"/>
  <c r="AM74" s="1"/>
  <c r="J75"/>
  <c r="AA75" s="1"/>
  <c r="L75"/>
  <c r="N75"/>
  <c r="Y75"/>
  <c r="Z75"/>
  <c r="AD75"/>
  <c r="AL75" s="1"/>
  <c r="AE75"/>
  <c r="AM75" s="1"/>
  <c r="S76"/>
  <c r="U76"/>
  <c r="W76"/>
  <c r="J77"/>
  <c r="AA77" s="1"/>
  <c r="AJ76" s="1"/>
  <c r="L77"/>
  <c r="L76" s="1"/>
  <c r="N77"/>
  <c r="O76" s="1"/>
  <c r="Y77"/>
  <c r="AH76" s="1"/>
  <c r="Z77"/>
  <c r="AI76" s="1"/>
  <c r="AD77"/>
  <c r="H77" s="1"/>
  <c r="AE77"/>
  <c r="AM77" s="1"/>
  <c r="L78"/>
  <c r="S78"/>
  <c r="U78"/>
  <c r="W78"/>
  <c r="J79"/>
  <c r="L79"/>
  <c r="N79"/>
  <c r="Y79"/>
  <c r="Z79"/>
  <c r="AD79"/>
  <c r="H79" s="1"/>
  <c r="AE79"/>
  <c r="AM79" s="1"/>
  <c r="AL79"/>
  <c r="J80"/>
  <c r="L80"/>
  <c r="N80"/>
  <c r="Y80"/>
  <c r="Z80"/>
  <c r="AD80"/>
  <c r="H80" s="1"/>
  <c r="AE80"/>
  <c r="AL80"/>
  <c r="AM80"/>
  <c r="S81"/>
  <c r="U81"/>
  <c r="W81"/>
  <c r="J82"/>
  <c r="L82"/>
  <c r="L81" s="1"/>
  <c r="N82"/>
  <c r="O81" s="1"/>
  <c r="Y82"/>
  <c r="AH81" s="1"/>
  <c r="Z82"/>
  <c r="AI81" s="1"/>
  <c r="AA82"/>
  <c r="AJ81" s="1"/>
  <c r="AD82"/>
  <c r="H82" s="1"/>
  <c r="AE82"/>
  <c r="AL82"/>
  <c r="AM82"/>
  <c r="S83"/>
  <c r="U83"/>
  <c r="W83"/>
  <c r="J84"/>
  <c r="AA84" s="1"/>
  <c r="AJ83" s="1"/>
  <c r="L84"/>
  <c r="L83" s="1"/>
  <c r="Y84"/>
  <c r="AH83" s="1"/>
  <c r="Z84"/>
  <c r="AI83" s="1"/>
  <c r="AD84"/>
  <c r="AL84" s="1"/>
  <c r="AE84"/>
  <c r="AM84" s="1"/>
  <c r="Q85"/>
  <c r="S85"/>
  <c r="U85"/>
  <c r="J86"/>
  <c r="L86"/>
  <c r="N86"/>
  <c r="Y86"/>
  <c r="Z86"/>
  <c r="AA86"/>
  <c r="AD86"/>
  <c r="H86" s="1"/>
  <c r="AE86"/>
  <c r="AM86" s="1"/>
  <c r="J87"/>
  <c r="L87"/>
  <c r="N87"/>
  <c r="Y87"/>
  <c r="Z87"/>
  <c r="AA87"/>
  <c r="AD87"/>
  <c r="H87" s="1"/>
  <c r="I87" s="1"/>
  <c r="AE87"/>
  <c r="AM87" s="1"/>
  <c r="J88"/>
  <c r="L88"/>
  <c r="N88"/>
  <c r="Y88"/>
  <c r="Z88"/>
  <c r="AA88"/>
  <c r="AD88"/>
  <c r="H88" s="1"/>
  <c r="I88" s="1"/>
  <c r="AE88"/>
  <c r="AM88" s="1"/>
  <c r="J89"/>
  <c r="L89"/>
  <c r="N89"/>
  <c r="Y89"/>
  <c r="Z89"/>
  <c r="AA89"/>
  <c r="AD89"/>
  <c r="H89" s="1"/>
  <c r="I89" s="1"/>
  <c r="AE89"/>
  <c r="AM89" s="1"/>
  <c r="AL89"/>
  <c r="J90"/>
  <c r="AA90" s="1"/>
  <c r="L90"/>
  <c r="N90"/>
  <c r="Y90"/>
  <c r="Z90"/>
  <c r="AD90"/>
  <c r="H90" s="1"/>
  <c r="I90" s="1"/>
  <c r="AE90"/>
  <c r="AM90" s="1"/>
  <c r="AL90"/>
  <c r="J91"/>
  <c r="L91"/>
  <c r="N91"/>
  <c r="Y91"/>
  <c r="Z91"/>
  <c r="AA91"/>
  <c r="AD91"/>
  <c r="H91" s="1"/>
  <c r="I91" s="1"/>
  <c r="AE91"/>
  <c r="AM91" s="1"/>
  <c r="AL91"/>
  <c r="J92"/>
  <c r="AA92" s="1"/>
  <c r="L92"/>
  <c r="N92"/>
  <c r="Y92"/>
  <c r="Z92"/>
  <c r="AD92"/>
  <c r="H92" s="1"/>
  <c r="I92" s="1"/>
  <c r="AE92"/>
  <c r="AM92" s="1"/>
  <c r="J93"/>
  <c r="AA93" s="1"/>
  <c r="L93"/>
  <c r="N93"/>
  <c r="Y93"/>
  <c r="Z93"/>
  <c r="AD93"/>
  <c r="H93" s="1"/>
  <c r="I93" s="1"/>
  <c r="AE93"/>
  <c r="AM93" s="1"/>
  <c r="J94"/>
  <c r="AA94" s="1"/>
  <c r="L94"/>
  <c r="N94"/>
  <c r="Y94"/>
  <c r="Z94"/>
  <c r="AD94"/>
  <c r="H94" s="1"/>
  <c r="I94" s="1"/>
  <c r="AE94"/>
  <c r="AM94" s="1"/>
  <c r="J95"/>
  <c r="AA95" s="1"/>
  <c r="L95"/>
  <c r="N95"/>
  <c r="Y95"/>
  <c r="Z95"/>
  <c r="AD95"/>
  <c r="H95" s="1"/>
  <c r="I95" s="1"/>
  <c r="AE95"/>
  <c r="AM95" s="1"/>
  <c r="J96"/>
  <c r="AA96" s="1"/>
  <c r="L96"/>
  <c r="N96"/>
  <c r="Y96"/>
  <c r="Z96"/>
  <c r="AD96"/>
  <c r="H96" s="1"/>
  <c r="I96" s="1"/>
  <c r="AE96"/>
  <c r="AM96" s="1"/>
  <c r="J97"/>
  <c r="AA97" s="1"/>
  <c r="L97"/>
  <c r="N97"/>
  <c r="Y97"/>
  <c r="Z97"/>
  <c r="AD97"/>
  <c r="H97" s="1"/>
  <c r="I97" s="1"/>
  <c r="AE97"/>
  <c r="AM97" s="1"/>
  <c r="J98"/>
  <c r="AA98" s="1"/>
  <c r="L98"/>
  <c r="N98"/>
  <c r="Y98"/>
  <c r="Z98"/>
  <c r="AD98"/>
  <c r="H98" s="1"/>
  <c r="I98" s="1"/>
  <c r="AE98"/>
  <c r="AM98" s="1"/>
  <c r="J99"/>
  <c r="AA99" s="1"/>
  <c r="L99"/>
  <c r="N99"/>
  <c r="Y99"/>
  <c r="Z99"/>
  <c r="AD99"/>
  <c r="H99" s="1"/>
  <c r="I99" s="1"/>
  <c r="AE99"/>
  <c r="AM99" s="1"/>
  <c r="J100"/>
  <c r="AA100" s="1"/>
  <c r="L100"/>
  <c r="N100"/>
  <c r="Y100"/>
  <c r="Z100"/>
  <c r="AD100"/>
  <c r="H100" s="1"/>
  <c r="I100" s="1"/>
  <c r="AE100"/>
  <c r="AM100" s="1"/>
  <c r="J101"/>
  <c r="AA101" s="1"/>
  <c r="L101"/>
  <c r="N101"/>
  <c r="Y101"/>
  <c r="Z101"/>
  <c r="AD101"/>
  <c r="H101" s="1"/>
  <c r="I101" s="1"/>
  <c r="AE101"/>
  <c r="AM101" s="1"/>
  <c r="J102"/>
  <c r="AA102" s="1"/>
  <c r="L102"/>
  <c r="N102"/>
  <c r="Y102"/>
  <c r="Z102"/>
  <c r="AD102"/>
  <c r="H102" s="1"/>
  <c r="I102" s="1"/>
  <c r="AE102"/>
  <c r="AM102" s="1"/>
  <c r="J103"/>
  <c r="AA103" s="1"/>
  <c r="L103"/>
  <c r="N103"/>
  <c r="Y103"/>
  <c r="Z103"/>
  <c r="AD103"/>
  <c r="H103" s="1"/>
  <c r="I103" s="1"/>
  <c r="AE103"/>
  <c r="AM103" s="1"/>
  <c r="J104"/>
  <c r="AA104" s="1"/>
  <c r="L104"/>
  <c r="N104"/>
  <c r="Y104"/>
  <c r="Z104"/>
  <c r="AD104"/>
  <c r="H104" s="1"/>
  <c r="I104" s="1"/>
  <c r="AE104"/>
  <c r="AM104" s="1"/>
  <c r="J105"/>
  <c r="AA105" s="1"/>
  <c r="L105"/>
  <c r="N105"/>
  <c r="Y105"/>
  <c r="Z105"/>
  <c r="AD105"/>
  <c r="H105" s="1"/>
  <c r="I105" s="1"/>
  <c r="AE105"/>
  <c r="AM105" s="1"/>
  <c r="J106"/>
  <c r="AA106" s="1"/>
  <c r="L106"/>
  <c r="N106"/>
  <c r="Y106"/>
  <c r="Z106"/>
  <c r="AD106"/>
  <c r="H106" s="1"/>
  <c r="I106" s="1"/>
  <c r="AE106"/>
  <c r="AM106" s="1"/>
  <c r="J107"/>
  <c r="AA107" s="1"/>
  <c r="L107"/>
  <c r="N107"/>
  <c r="Y107"/>
  <c r="Z107"/>
  <c r="AD107"/>
  <c r="H107" s="1"/>
  <c r="I107" s="1"/>
  <c r="AE107"/>
  <c r="AM107" s="1"/>
  <c r="J108"/>
  <c r="AA108" s="1"/>
  <c r="L108"/>
  <c r="N108"/>
  <c r="Y108"/>
  <c r="Z108"/>
  <c r="AD108"/>
  <c r="H108" s="1"/>
  <c r="I108" s="1"/>
  <c r="AE108"/>
  <c r="AM108" s="1"/>
  <c r="J109"/>
  <c r="AA109" s="1"/>
  <c r="L109"/>
  <c r="N109"/>
  <c r="Y109"/>
  <c r="Z109"/>
  <c r="AD109"/>
  <c r="H109" s="1"/>
  <c r="I109" s="1"/>
  <c r="AE109"/>
  <c r="AM109" s="1"/>
  <c r="J110"/>
  <c r="AA110" s="1"/>
  <c r="L110"/>
  <c r="N110"/>
  <c r="Y110"/>
  <c r="Z110"/>
  <c r="Z119" s="1"/>
  <c r="AD110"/>
  <c r="H110" s="1"/>
  <c r="I110" s="1"/>
  <c r="AE110"/>
  <c r="AM110" s="1"/>
  <c r="J111"/>
  <c r="AA111" s="1"/>
  <c r="L111"/>
  <c r="N111"/>
  <c r="Y111"/>
  <c r="Z111"/>
  <c r="AD111"/>
  <c r="H111" s="1"/>
  <c r="I111" s="1"/>
  <c r="AE111"/>
  <c r="AM111" s="1"/>
  <c r="J112"/>
  <c r="AA112" s="1"/>
  <c r="L112"/>
  <c r="N112"/>
  <c r="Y112"/>
  <c r="Z112"/>
  <c r="AD112"/>
  <c r="H112" s="1"/>
  <c r="I112" s="1"/>
  <c r="AE112"/>
  <c r="AM112" s="1"/>
  <c r="J113"/>
  <c r="AA113" s="1"/>
  <c r="L113"/>
  <c r="N113"/>
  <c r="Y113"/>
  <c r="Z113"/>
  <c r="AD113"/>
  <c r="H113" s="1"/>
  <c r="I113" s="1"/>
  <c r="AE113"/>
  <c r="AM113" s="1"/>
  <c r="J114"/>
  <c r="AA114" s="1"/>
  <c r="L114"/>
  <c r="N114"/>
  <c r="Y114"/>
  <c r="Z114"/>
  <c r="AD114"/>
  <c r="H114" s="1"/>
  <c r="I114" s="1"/>
  <c r="AE114"/>
  <c r="AM114" s="1"/>
  <c r="J115"/>
  <c r="AA115" s="1"/>
  <c r="L115"/>
  <c r="N115"/>
  <c r="Y115"/>
  <c r="Z115"/>
  <c r="AD115"/>
  <c r="H115" s="1"/>
  <c r="I115" s="1"/>
  <c r="AE115"/>
  <c r="AM115" s="1"/>
  <c r="J116"/>
  <c r="AA116" s="1"/>
  <c r="L116"/>
  <c r="N116"/>
  <c r="Y116"/>
  <c r="Z116"/>
  <c r="AD116"/>
  <c r="H116" s="1"/>
  <c r="I116" s="1"/>
  <c r="AE116"/>
  <c r="AM116" s="1"/>
  <c r="J117"/>
  <c r="AA117" s="1"/>
  <c r="L117"/>
  <c r="N117"/>
  <c r="Y117"/>
  <c r="Z117"/>
  <c r="AD117"/>
  <c r="H117" s="1"/>
  <c r="I117" s="1"/>
  <c r="AE117"/>
  <c r="AM117" s="1"/>
  <c r="J118"/>
  <c r="AA118" s="1"/>
  <c r="L118"/>
  <c r="N118"/>
  <c r="Y118"/>
  <c r="Z118"/>
  <c r="AD118"/>
  <c r="H118" s="1"/>
  <c r="I118" s="1"/>
  <c r="AE118"/>
  <c r="AM118" s="1"/>
  <c r="Y119"/>
  <c r="F11" i="2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1" l="1"/>
  <c r="AJ32" i="1"/>
  <c r="O85"/>
  <c r="AJ85"/>
  <c r="AH85"/>
  <c r="L85"/>
  <c r="AI78"/>
  <c r="O78"/>
  <c r="AH57"/>
  <c r="AJ53"/>
  <c r="AH53"/>
  <c r="L53"/>
  <c r="AI49"/>
  <c r="O49"/>
  <c r="AJ45"/>
  <c r="AH45"/>
  <c r="L45"/>
  <c r="AH42"/>
  <c r="AJ39"/>
  <c r="AH39"/>
  <c r="L39"/>
  <c r="AI32"/>
  <c r="AI29"/>
  <c r="O29"/>
  <c r="AI26"/>
  <c r="O16"/>
  <c r="AH16"/>
  <c r="L16"/>
  <c r="C16" i="3"/>
  <c r="AI85" i="1"/>
  <c r="AH78"/>
  <c r="L57"/>
  <c r="AI57"/>
  <c r="O57"/>
  <c r="AJ57"/>
  <c r="AI53"/>
  <c r="AH49"/>
  <c r="AI45"/>
  <c r="AI42"/>
  <c r="O42"/>
  <c r="AI39"/>
  <c r="AH32"/>
  <c r="L32"/>
  <c r="AH29"/>
  <c r="AJ26"/>
  <c r="AH26"/>
  <c r="L26"/>
  <c r="AI16"/>
  <c r="C18" i="3"/>
  <c r="C27"/>
  <c r="H85" i="1"/>
  <c r="I86"/>
  <c r="I85" s="1"/>
  <c r="H81"/>
  <c r="I82"/>
  <c r="I81" s="1"/>
  <c r="H32"/>
  <c r="I33"/>
  <c r="I32" s="1"/>
  <c r="H26"/>
  <c r="I27"/>
  <c r="I26" s="1"/>
  <c r="Q14"/>
  <c r="H12"/>
  <c r="I13"/>
  <c r="I12" s="1"/>
  <c r="I80"/>
  <c r="I79"/>
  <c r="I52"/>
  <c r="I51"/>
  <c r="I50"/>
  <c r="H45"/>
  <c r="I46"/>
  <c r="I45" s="1"/>
  <c r="H39"/>
  <c r="I40"/>
  <c r="I39" s="1"/>
  <c r="H16"/>
  <c r="I17"/>
  <c r="I16" s="1"/>
  <c r="H49"/>
  <c r="H76"/>
  <c r="I77"/>
  <c r="I76" s="1"/>
  <c r="H78"/>
  <c r="I38"/>
  <c r="I37" s="1"/>
  <c r="AJ29"/>
  <c r="I25"/>
  <c r="I24" s="1"/>
  <c r="I54"/>
  <c r="J37"/>
  <c r="Q37"/>
  <c r="J24"/>
  <c r="Q24"/>
  <c r="AJ14"/>
  <c r="AJ42"/>
  <c r="H29"/>
  <c r="H84"/>
  <c r="H83" s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44"/>
  <c r="H43"/>
  <c r="AJ12"/>
  <c r="C28" i="3"/>
  <c r="F28" s="1"/>
  <c r="AL118" i="1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88"/>
  <c r="AL87"/>
  <c r="AL86"/>
  <c r="AA80"/>
  <c r="AA79"/>
  <c r="AL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H56"/>
  <c r="I56" s="1"/>
  <c r="AA52"/>
  <c r="AA51"/>
  <c r="AA50"/>
  <c r="AL48"/>
  <c r="AL47"/>
  <c r="I44"/>
  <c r="I43"/>
  <c r="AA38"/>
  <c r="AJ37" s="1"/>
  <c r="I31"/>
  <c r="I30"/>
  <c r="AA25"/>
  <c r="AJ24" s="1"/>
  <c r="I15"/>
  <c r="I14" s="1"/>
  <c r="AH12"/>
  <c r="I29" l="1"/>
  <c r="AJ78"/>
  <c r="I84"/>
  <c r="I78"/>
  <c r="R14"/>
  <c r="V14"/>
  <c r="T14"/>
  <c r="J78"/>
  <c r="Q78"/>
  <c r="Q39"/>
  <c r="J39"/>
  <c r="T12"/>
  <c r="R12"/>
  <c r="V12"/>
  <c r="T81"/>
  <c r="R81"/>
  <c r="V81"/>
  <c r="Q83"/>
  <c r="T37"/>
  <c r="R37"/>
  <c r="V37"/>
  <c r="T39"/>
  <c r="R39"/>
  <c r="V39"/>
  <c r="J32"/>
  <c r="Q32"/>
  <c r="W85"/>
  <c r="C20" i="3" s="1"/>
  <c r="J85" i="1"/>
  <c r="H42"/>
  <c r="AA119"/>
  <c r="I49"/>
  <c r="J14"/>
  <c r="R29"/>
  <c r="V29"/>
  <c r="T29"/>
  <c r="J16"/>
  <c r="Q16"/>
  <c r="R32"/>
  <c r="V32"/>
  <c r="T32"/>
  <c r="R85"/>
  <c r="V85"/>
  <c r="T85"/>
  <c r="H53"/>
  <c r="I83"/>
  <c r="J83" s="1"/>
  <c r="N84"/>
  <c r="O83" s="1"/>
  <c r="C21" i="3" s="1"/>
  <c r="J76" i="1"/>
  <c r="Q76"/>
  <c r="J45"/>
  <c r="Q45"/>
  <c r="T78"/>
  <c r="R78"/>
  <c r="V78"/>
  <c r="J29"/>
  <c r="Q29"/>
  <c r="T24"/>
  <c r="R24"/>
  <c r="V24"/>
  <c r="R76"/>
  <c r="V76"/>
  <c r="T76"/>
  <c r="R16"/>
  <c r="V16"/>
  <c r="T16"/>
  <c r="R45"/>
  <c r="V45"/>
  <c r="T45"/>
  <c r="Q12"/>
  <c r="J12"/>
  <c r="Q26"/>
  <c r="J26"/>
  <c r="Q81"/>
  <c r="J81"/>
  <c r="I42"/>
  <c r="AJ49"/>
  <c r="I57"/>
  <c r="H57"/>
  <c r="I53"/>
  <c r="J49"/>
  <c r="Q49"/>
  <c r="T26"/>
  <c r="R26"/>
  <c r="V26"/>
  <c r="C29" i="3"/>
  <c r="F29" s="1"/>
  <c r="T49" i="1" l="1"/>
  <c r="R49"/>
  <c r="V49"/>
  <c r="I28" i="3"/>
  <c r="I29" s="1"/>
  <c r="Q53" i="1"/>
  <c r="J53"/>
  <c r="J42"/>
  <c r="Q42"/>
  <c r="T53"/>
  <c r="R53"/>
  <c r="V53"/>
  <c r="R42"/>
  <c r="V42"/>
  <c r="T42"/>
  <c r="R57"/>
  <c r="V57"/>
  <c r="T57"/>
  <c r="J57"/>
  <c r="Q57"/>
  <c r="R83"/>
  <c r="V83"/>
  <c r="T83"/>
  <c r="C17" i="3"/>
  <c r="C19" l="1"/>
  <c r="C15"/>
  <c r="J119" i="1"/>
  <c r="C14" i="3"/>
  <c r="C22" s="1"/>
</calcChain>
</file>

<file path=xl/sharedStrings.xml><?xml version="1.0" encoding="utf-8"?>
<sst xmlns="http://schemas.openxmlformats.org/spreadsheetml/2006/main" count="964" uniqueCount="420">
  <si>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</si>
  <si>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</si>
  <si>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</si>
  <si>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</si>
  <si>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</si>
  <si>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</si>
  <si>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</si>
  <si>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</si>
  <si>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</si>
  <si>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</si>
  <si>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</si>
  <si>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</si>
  <si>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</si>
  <si>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</si>
  <si>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</si>
  <si>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</si>
  <si>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</si>
  <si>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</si>
  <si>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</si>
  <si>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</si>
  <si>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</si>
  <si>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</si>
  <si>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</si>
  <si>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</si>
  <si>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</si>
  <si>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</si>
  <si>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</si>
  <si>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</si>
  <si>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</si>
  <si>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</si>
  <si>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</si>
  <si>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</si>
  <si>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</si>
  <si>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</si>
  <si>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</si>
  <si>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</si>
  <si>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</si>
  <si>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</si>
  <si>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</si>
  <si>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</si>
  <si>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</si>
  <si>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</si>
  <si>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</si>
  <si>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</si>
  <si>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</si>
  <si>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</si>
  <si>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</si>
  <si>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</si>
  <si>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</si>
  <si>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</si>
  <si>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</si>
  <si>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</si>
  <si>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</si>
  <si>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</si>
  <si>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</si>
  <si>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</si>
  <si>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</si>
  <si>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</si>
  <si>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</si>
  <si>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</si>
  <si>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</si>
  <si>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</si>
  <si>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</si>
  <si>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</si>
  <si>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</si>
  <si>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</si>
  <si>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</si>
  <si>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</si>
  <si>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</si>
  <si>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</si>
  <si>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</si>
  <si>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</si>
  <si>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</si>
  <si>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</si>
  <si>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</si>
  <si>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</si>
  <si>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</si>
  <si>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</si>
  <si>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</si>
  <si>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</si>
  <si>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</si>
  <si>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</si>
  <si>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</si>
  <si>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</si>
  <si>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</si>
  <si>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</si>
  <si>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</si>
  <si>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</si>
  <si>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</si>
  <si>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</si>
  <si>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</si>
  <si>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</si>
  <si>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</si>
  <si>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</si>
  <si>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</si>
  <si>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Poznámka:</t>
  </si>
  <si>
    <t>Objekt</t>
  </si>
  <si>
    <t>Kód</t>
  </si>
  <si>
    <t>119001421R00</t>
  </si>
  <si>
    <t>120001101R00</t>
  </si>
  <si>
    <t>132201212R00</t>
  </si>
  <si>
    <t>132201219R00</t>
  </si>
  <si>
    <t>132301212R00</t>
  </si>
  <si>
    <t>132301219R00</t>
  </si>
  <si>
    <t>132401211R00</t>
  </si>
  <si>
    <t>131301111R00</t>
  </si>
  <si>
    <t>131301119R00</t>
  </si>
  <si>
    <t>141721104R00</t>
  </si>
  <si>
    <t>151101102R00</t>
  </si>
  <si>
    <t>151101112R00</t>
  </si>
  <si>
    <t>162601102RT6</t>
  </si>
  <si>
    <t>162702199R00</t>
  </si>
  <si>
    <t>171102101R00</t>
  </si>
  <si>
    <t>174101101R00</t>
  </si>
  <si>
    <t>174201101R00</t>
  </si>
  <si>
    <t>175101101RT2</t>
  </si>
  <si>
    <t>181101102R00</t>
  </si>
  <si>
    <t>451572111RL2</t>
  </si>
  <si>
    <t>452351101R00</t>
  </si>
  <si>
    <t>564762111R00</t>
  </si>
  <si>
    <t>565151111RT3</t>
  </si>
  <si>
    <t>571902111R00</t>
  </si>
  <si>
    <t>573211111R00</t>
  </si>
  <si>
    <t>574391111R00</t>
  </si>
  <si>
    <t>850265121R00</t>
  </si>
  <si>
    <t>857601102R00</t>
  </si>
  <si>
    <t>857701102R00</t>
  </si>
  <si>
    <t>877252121R00</t>
  </si>
  <si>
    <t>871251121R00</t>
  </si>
  <si>
    <t>871373121R00</t>
  </si>
  <si>
    <t>89</t>
  </si>
  <si>
    <t>892581111R00</t>
  </si>
  <si>
    <t>892583111R00</t>
  </si>
  <si>
    <t>892271111R00</t>
  </si>
  <si>
    <t>892273111R00</t>
  </si>
  <si>
    <t>892372111R00</t>
  </si>
  <si>
    <t>891241111R00</t>
  </si>
  <si>
    <t>891247111R00</t>
  </si>
  <si>
    <t>891261111R00</t>
  </si>
  <si>
    <t>892855115R00</t>
  </si>
  <si>
    <t>894411121RT2</t>
  </si>
  <si>
    <t>894412511R00</t>
  </si>
  <si>
    <t>894421111R00</t>
  </si>
  <si>
    <t>899103111RT2</t>
  </si>
  <si>
    <t>899401112R00</t>
  </si>
  <si>
    <t>899401113R00</t>
  </si>
  <si>
    <t>899713111R00</t>
  </si>
  <si>
    <t>899623131R00</t>
  </si>
  <si>
    <t>899911111R00</t>
  </si>
  <si>
    <t>90</t>
  </si>
  <si>
    <t>900      R03</t>
  </si>
  <si>
    <t>91</t>
  </si>
  <si>
    <t>919735113R00</t>
  </si>
  <si>
    <t>919412113R00</t>
  </si>
  <si>
    <t>96</t>
  </si>
  <si>
    <t>966008112R00</t>
  </si>
  <si>
    <t>H27</t>
  </si>
  <si>
    <t>998276101R00</t>
  </si>
  <si>
    <t>28613107.M</t>
  </si>
  <si>
    <t>28613127.M</t>
  </si>
  <si>
    <t>28613032.M</t>
  </si>
  <si>
    <t>28613041.M</t>
  </si>
  <si>
    <t>28613050.M</t>
  </si>
  <si>
    <t>286136704</t>
  </si>
  <si>
    <t>28653599</t>
  </si>
  <si>
    <t>28653709</t>
  </si>
  <si>
    <t>28611135</t>
  </si>
  <si>
    <t>42200760</t>
  </si>
  <si>
    <t>42200750</t>
  </si>
  <si>
    <t>42293250</t>
  </si>
  <si>
    <t>42273590</t>
  </si>
  <si>
    <t>42224356</t>
  </si>
  <si>
    <t>42224359</t>
  </si>
  <si>
    <t>42973207</t>
  </si>
  <si>
    <t>55243347</t>
  </si>
  <si>
    <t>55259982</t>
  </si>
  <si>
    <t>552599944</t>
  </si>
  <si>
    <t>59224011</t>
  </si>
  <si>
    <t>59224012</t>
  </si>
  <si>
    <t>59224013</t>
  </si>
  <si>
    <t>5922405304</t>
  </si>
  <si>
    <t>59224150</t>
  </si>
  <si>
    <t>59224152</t>
  </si>
  <si>
    <t>59224154</t>
  </si>
  <si>
    <t>59224126</t>
  </si>
  <si>
    <t>59224258</t>
  </si>
  <si>
    <t>42291230</t>
  </si>
  <si>
    <t>42291240</t>
  </si>
  <si>
    <t>15615195</t>
  </si>
  <si>
    <t>286136717</t>
  </si>
  <si>
    <t>Divišov-rozšíření vodovodní a kanalizační sítě</t>
  </si>
  <si>
    <t>lokalita plochá dráha</t>
  </si>
  <si>
    <t>Zkrácený popis</t>
  </si>
  <si>
    <t>Rozměry</t>
  </si>
  <si>
    <t>Přípravné a přidružené práce</t>
  </si>
  <si>
    <t>Dočasné zajištění kabelů - do počtu 3 kabelů</t>
  </si>
  <si>
    <t>Odkopávky a prokopávky</t>
  </si>
  <si>
    <t>Příplatek za ztížení vykopávky v blízkosti vedení</t>
  </si>
  <si>
    <t>Hloubené vykopávky</t>
  </si>
  <si>
    <t>Hloubení rýh š.do 200 cm hor.3 do 1000m3,STROJNĚ</t>
  </si>
  <si>
    <t>Příplatek za lepivost - hloubení rýh 200cm v hor.3</t>
  </si>
  <si>
    <t>Hloubení rýh š.do 200 cm hor.4 do 1000 m3, STROJNĚ</t>
  </si>
  <si>
    <t>Příplatek za lepivost - hloubení rýh 200cm v hor.4</t>
  </si>
  <si>
    <t>Hloubení rýh šířky do 200 cm v hor.5, STROJNĚ</t>
  </si>
  <si>
    <t>Hloubení nezapaž. jam hor.4 do 100 m3, STROJNĚ</t>
  </si>
  <si>
    <t>Příplatek za lepivost - hloubení nezap.jam v hor.4</t>
  </si>
  <si>
    <t>Ražení a hloubení tunelářské</t>
  </si>
  <si>
    <t>Řízené protlačení a vtažení PE d 315 mm, hor.1 - 4</t>
  </si>
  <si>
    <t>Roubení</t>
  </si>
  <si>
    <t>Pažení a rozepření stěn rýh - příložné - hl. do 4m</t>
  </si>
  <si>
    <t>Odstranění pažení stěn rýh - příložné - hl. do 4 m</t>
  </si>
  <si>
    <t>Přemístění výkopku</t>
  </si>
  <si>
    <t>Vodorovné přemístění výkopku z hor.1-4 do 5000 m</t>
  </si>
  <si>
    <t>Poplatek za skládku zeminy</t>
  </si>
  <si>
    <t>Konstrukce ze zemin</t>
  </si>
  <si>
    <t>Uložení sypaniny do násypů, zhutn, do 95% PS</t>
  </si>
  <si>
    <t>Zásyp jam, rýh, šachet se zhutněním</t>
  </si>
  <si>
    <t>Zásyp jam, rýh, šachet bez zhutnění</t>
  </si>
  <si>
    <t>Obsyp potrubí bez prohození sypaniny</t>
  </si>
  <si>
    <t>Povrchové úpravy terénu</t>
  </si>
  <si>
    <t>Úprava pláně v zářezech v hor. 1-4, se zhutněním</t>
  </si>
  <si>
    <t>Podkladní a vedlejší konstrukce (kromě vozovek a železničního svršku)</t>
  </si>
  <si>
    <t>Lože pod potrubí z kameniva těženého 0 - 4 mm</t>
  </si>
  <si>
    <t>Bednění desek nebo sedlových loží pod potrubí</t>
  </si>
  <si>
    <t>Podkladní vrstvy komunikací a zpevněných ploch</t>
  </si>
  <si>
    <t>Podklad z kam.drceného 32-63 s výplň.kamen. 20 cm</t>
  </si>
  <si>
    <t>Podklad z obal kam.ACP 16+,ACP 22+,do 3 m,tl. 7 cm</t>
  </si>
  <si>
    <t>Kryty štěrkových a živičných pozemních komunikací a zpevněných ploch</t>
  </si>
  <si>
    <t>Posyp krytu kamenivem drceným do 10 kg/m2</t>
  </si>
  <si>
    <t>Postřik živičný spojovací z asfaltu 0,5-0,7 kg/m2</t>
  </si>
  <si>
    <t>Makadam hrubý s asfalt. postřikem a posypem, 10 cm</t>
  </si>
  <si>
    <t>Potrubí z trub litinových</t>
  </si>
  <si>
    <t>Výřez nebo výsek na potrubí litinovém DN 100</t>
  </si>
  <si>
    <t>Montáž tvarovek jednoosých, tvárná litina DN 100</t>
  </si>
  <si>
    <t>Montáž tvarovek odbočných, tvárná litina DN 100</t>
  </si>
  <si>
    <t>Potrubí z trub plastických, skleněných a čedičových</t>
  </si>
  <si>
    <t>Přirážka za 1 spoj elektrotvarovky d 110 mm</t>
  </si>
  <si>
    <t>Montáž trubek polyetylenových ve výkopu d 110 mm</t>
  </si>
  <si>
    <t>Montáž trub z plastu, gumový kroužek, DN 300</t>
  </si>
  <si>
    <t>Ostatní konstrukce a práce na trubním vedení</t>
  </si>
  <si>
    <t>Zkouška těsnosti kanalizace DN do 300, vodou</t>
  </si>
  <si>
    <t>Zabezpečení konců kanal. potrubí DN do 300, vodou</t>
  </si>
  <si>
    <t>Tlaková zkouška vodovodního potrubí DN 125</t>
  </si>
  <si>
    <t>Desinfekce vodovodního potrubí DN 125</t>
  </si>
  <si>
    <t>Zabezpečení konců vodovod. potrubí DN 300</t>
  </si>
  <si>
    <t>Montáž vodovodních šoupátek ve výkopu DN 80</t>
  </si>
  <si>
    <t>Montáž hydrantů podzemních DN 80</t>
  </si>
  <si>
    <t>Montáž vodovodních šoupátek ve výkopu DN 100</t>
  </si>
  <si>
    <t>Kontrola kanalizace TV kamerou do 500 m</t>
  </si>
  <si>
    <t>Zřízení šachet z dílců, dno C25/30, potrubí DN 300</t>
  </si>
  <si>
    <t>Osazení železobeton. skruží přechod. 59/80/60/10</t>
  </si>
  <si>
    <t>Osazení betonových dílců šachet</t>
  </si>
  <si>
    <t>Osazení poklopu s rámem do 150 kg</t>
  </si>
  <si>
    <t>Osazení poklopů litinových šoupátkových</t>
  </si>
  <si>
    <t>Osazení poklopů litinových hydrantových</t>
  </si>
  <si>
    <t>Orientační tabulky na sloupku ocelovém, betonovém</t>
  </si>
  <si>
    <t>Obetonování potrubí nebo zdiva stok betonem C 8/10</t>
  </si>
  <si>
    <t>Osazení ocelových součástí do 5 kg jednotlivě</t>
  </si>
  <si>
    <t>Hodinové zúčtovací sazby (HZS)</t>
  </si>
  <si>
    <t>HZS</t>
  </si>
  <si>
    <t>Doplňující konstrukce a práce na pozemních komunikacích a zpevněných plochách</t>
  </si>
  <si>
    <t>Řezání stávajícího živičného krytu tl. 10 - 15 cm</t>
  </si>
  <si>
    <t>Hospodářský přejezd 4 m,čela z C8/10, převýš.100cm</t>
  </si>
  <si>
    <t>Bourání konstrukcí</t>
  </si>
  <si>
    <t>Bourání trubního propustku z trub DN do 50 cm</t>
  </si>
  <si>
    <t>Vedení trubní dálková a přípojná</t>
  </si>
  <si>
    <t>Přesun hmot, trubní vedení plastová, otevř. výkop</t>
  </si>
  <si>
    <t>Ostatní materiál</t>
  </si>
  <si>
    <t>Elektrospojka d 110  mm SDR 11 PE 100 ELGEF Plus</t>
  </si>
  <si>
    <t>Elektro T-kus KIT d 110mm rovnoramenný PE100 SDR11</t>
  </si>
  <si>
    <t>Koleno 30° d 110 mm PE 100 +GF+</t>
  </si>
  <si>
    <t>Koleno 45° d 110 mm PE 100 +GF+</t>
  </si>
  <si>
    <t>Koleno 90° d 110 mm PE 100 +GF+</t>
  </si>
  <si>
    <t>Trubka SafeTech RC voda  SDR11 110x10,0mm L=100m</t>
  </si>
  <si>
    <t>Nákružek lemový tlakový PE HD (lPE) d 110 mm</t>
  </si>
  <si>
    <t>Redukce tlaková PE HD (lPE) d 110/90 mm</t>
  </si>
  <si>
    <t>Trubka PVC kanalizační Solidwall 315x10,8x6000 mm</t>
  </si>
  <si>
    <t>HAWLE poklop k podz. hydrantu 1950 - voda</t>
  </si>
  <si>
    <t>HAWLE poklop uliční šoupátkový 1750  - voda</t>
  </si>
  <si>
    <t>HAWLE souprava zemní 9500E2 DN50 -100, 1,3-1,8m</t>
  </si>
  <si>
    <t>Hydrant podzemní PN 10 DN 80 krycí hloubka 1250</t>
  </si>
  <si>
    <t>Šoupátko S20-118-610 PN 10  DN 80(EKO-Plus005)</t>
  </si>
  <si>
    <t>Šoupátko S20-118-610 PN 10  DN 100(EKO-Plus005)</t>
  </si>
  <si>
    <t>Příruba kruhová plochá d 110 mm</t>
  </si>
  <si>
    <t>Poklop litinový KD 03 D 610 mm pro zatížení 40 t</t>
  </si>
  <si>
    <t>Koleno přírubové Duktus Q DN80-90° EWS</t>
  </si>
  <si>
    <t>Tvarovka přír. s přír. odb. Duktus T DN100/100mm</t>
  </si>
  <si>
    <t>Prstenec ke krytu šachty AR 625x60   62,5x6x10 cm</t>
  </si>
  <si>
    <t>Prstenec ke krytu šachty AR 625x80   62,5x8x10 cm</t>
  </si>
  <si>
    <t>Prstenec ke krytu šachty AR 625x100  62,5x10x10 cm</t>
  </si>
  <si>
    <t>Dno šachty SU-M 1000x785 DN 300 BB</t>
  </si>
  <si>
    <t>Skruž TBS-Q 1000/250/120 SP</t>
  </si>
  <si>
    <t>Skruž TBS-Q 1000/500/120/SP</t>
  </si>
  <si>
    <t>Skruž TBS-Q 1000/1000/120 SP</t>
  </si>
  <si>
    <t>Skruž přechodová TBR-Q 625/600/90/SPK (SLK)</t>
  </si>
  <si>
    <t>Zákrytová deska TBK-Q.2 800/625/150/B</t>
  </si>
  <si>
    <t>Souprava zemní šoupátková Y 1020  DN 80</t>
  </si>
  <si>
    <t>Souprava zemní šoupátková Y 1020  DN 100</t>
  </si>
  <si>
    <t>Drát tažený pozinkovaný 11343  D 4,00 mm</t>
  </si>
  <si>
    <t>Trubka SafeTech RC voda  SDR11 315x28,6mm L=12m</t>
  </si>
  <si>
    <t>Doba výstavby:</t>
  </si>
  <si>
    <t>Začátek výstavby:</t>
  </si>
  <si>
    <t>Konec výstavby:</t>
  </si>
  <si>
    <t>Zpracováno dne:</t>
  </si>
  <si>
    <t>M.j.</t>
  </si>
  <si>
    <t>m</t>
  </si>
  <si>
    <t>m3</t>
  </si>
  <si>
    <t>m2</t>
  </si>
  <si>
    <t>kus</t>
  </si>
  <si>
    <t>úsek</t>
  </si>
  <si>
    <t>kg</t>
  </si>
  <si>
    <t>h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</si>
  <si>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</si>
  <si>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</si>
  <si>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</si>
  <si>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</si>
  <si>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</si>
  <si>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</si>
  <si>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</si>
  <si>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</si>
  <si>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</si>
  <si>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</si>
  <si>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</si>
  <si>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</si>
  <si>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Celkem</t>
  </si>
  <si>
    <t>Hmotnost (t)</t>
  </si>
  <si>
    <t>0</t>
  </si>
  <si>
    <t>Přesuny</t>
  </si>
  <si>
    <t>Typ skupiny</t>
  </si>
  <si>
    <t>HS</t>
  </si>
  <si>
    <t>OM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</si>
  <si>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</si>
  <si>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</si>
  <si>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</si>
  <si>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</si>
  <si>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</si>
  <si>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</si>
  <si>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</si>
  <si>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</si>
  <si>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12_</t>
  </si>
  <si>
    <t>13_</t>
  </si>
  <si>
    <t>14_</t>
  </si>
  <si>
    <t>15_</t>
  </si>
  <si>
    <t>16_</t>
  </si>
  <si>
    <t>17_</t>
  </si>
  <si>
    <t>18_</t>
  </si>
  <si>
    <t>45_</t>
  </si>
  <si>
    <t>56_</t>
  </si>
  <si>
    <t>57_</t>
  </si>
  <si>
    <t>85_</t>
  </si>
  <si>
    <t>87_</t>
  </si>
  <si>
    <t>89_</t>
  </si>
  <si>
    <t>90_</t>
  </si>
  <si>
    <t>91_</t>
  </si>
  <si>
    <t>96_</t>
  </si>
  <si>
    <t>H27_</t>
  </si>
  <si>
    <t>Z99999_</t>
  </si>
  <si>
    <t>1_</t>
  </si>
  <si>
    <t>4_</t>
  </si>
  <si>
    <t>5_</t>
  </si>
  <si>
    <t>8_</t>
  </si>
  <si>
    <t>9_</t>
  </si>
  <si>
    <t>Z_</t>
  </si>
  <si>
    <t>_</t>
  </si>
  <si>
    <t>Stavební rozpočet - rekapitulace</t>
  </si>
  <si>
    <t>Náklady (Kč) - dodávka</t>
  </si>
  <si>
    <t>Náklady (Kč) - Montáž</t>
  </si>
  <si>
    <t>Náklady (Kč) - celkem</t>
  </si>
  <si>
    <t>Celková hmotnost (t)</t>
  </si>
  <si>
    <t>F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</si>
  <si>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</si>
  <si>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</si>
  <si>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</si>
  <si>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</si>
  <si>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</si>
  <si>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</si>
  <si>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</si>
  <si>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</si>
  <si>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</si>
  <si>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</si>
  <si>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</si>
  <si>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</si>
  <si>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</si>
  <si>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</si>
  <si>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</si>
  <si>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</si>
  <si>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</si>
  <si>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</si>
  <si>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</si>
  <si>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</si>
  <si>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</si>
  <si>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</si>
  <si>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</si>
  <si>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</si>
  <si>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</si>
  <si>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</si>
  <si>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</si>
  <si>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</si>
  <si>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</si>
  <si>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</si>
  <si>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</si>
  <si>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</si>
  <si>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</si>
  <si>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</si>
  <si>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</si>
  <si>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</si>
  <si>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</si>
  <si>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</si>
  <si>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</si>
  <si>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</si>
  <si>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</si>
  <si>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</si>
  <si>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</si>
  <si>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vodovod,kanalizace</t>
  </si>
  <si>
    <t>827 11 11</t>
  </si>
  <si>
    <t>Městys Divišov</t>
  </si>
  <si>
    <t>J.Bejček,Vodomont,Tyršova 1902, BN</t>
  </si>
  <si>
    <t>J.Bejček,Vodomont,Tyršova 1902, 256 01 BN</t>
  </si>
  <si>
    <t>J.Bejček,Vodomont,Tyršova 1902</t>
  </si>
  <si>
    <t>125 75 984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</si>
</sst>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8" fillId="2" borderId="7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49" fontId="3" fillId="0" borderId="26" xfId="0" applyNumberFormat="1" applyFont="1" applyFill="1" applyBorder="1" applyAlignment="1" applyProtection="1">
      <alignment horizontal="left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0" fillId="3" borderId="29" xfId="0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Fill="1" applyBorder="1" applyAlignment="1" applyProtection="1">
      <alignment horizontal="left" vertical="center"/>
    </xf>
    <xf numFmtId="49" fontId="11" fillId="0" borderId="31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49" fontId="12" fillId="0" borderId="29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2" fillId="0" borderId="29" xfId="0" applyNumberFormat="1" applyFont="1" applyFill="1" applyBorder="1" applyAlignment="1" applyProtection="1">
      <alignment horizontal="right" vertical="center"/>
    </xf>
    <xf numFmtId="49" fontId="12" fillId="0" borderId="29" xfId="0" applyNumberFormat="1" applyFont="1" applyFill="1" applyBorder="1" applyAlignment="1" applyProtection="1">
      <alignment horizontal="right" vertical="center"/>
    </xf>
    <xf numFmtId="4" fontId="12" fillId="0" borderId="17" xfId="0" applyNumberFormat="1" applyFont="1" applyFill="1" applyBorder="1" applyAlignment="1" applyProtection="1">
      <alignment horizontal="right" vertical="center"/>
    </xf>
    <xf numFmtId="0" fontId="1" fillId="0" borderId="4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1" fillId="0" borderId="32" xfId="0" applyNumberFormat="1" applyFont="1" applyFill="1" applyBorder="1" applyAlignment="1" applyProtection="1">
      <alignment vertical="center"/>
    </xf>
    <xf numFmtId="4" fontId="11" fillId="3" borderId="36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49" fontId="12" fillId="0" borderId="23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38" xfId="0" applyNumberFormat="1" applyFont="1" applyFill="1" applyBorder="1" applyAlignment="1" applyProtection="1">
      <alignment horizontal="left" vertical="center"/>
    </xf>
    <xf numFmtId="49" fontId="12" fillId="0" borderId="35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39" xfId="0" applyNumberFormat="1" applyFont="1" applyFill="1" applyBorder="1" applyAlignment="1" applyProtection="1">
      <alignment horizontal="left" vertical="center"/>
    </xf>
    <xf numFmtId="49" fontId="11" fillId="3" borderId="32" xfId="0" applyNumberFormat="1" applyFont="1" applyFill="1" applyBorder="1" applyAlignment="1" applyProtection="1">
      <alignment horizontal="left" vertical="center"/>
    </xf>
    <xf numFmtId="0" fontId="11" fillId="3" borderId="28" xfId="0" applyNumberFormat="1" applyFont="1" applyFill="1" applyBorder="1" applyAlignment="1" applyProtection="1">
      <alignment horizontal="left" vertical="center"/>
    </xf>
    <xf numFmtId="49" fontId="12" fillId="0" borderId="34" xfId="0" applyNumberFormat="1" applyFont="1" applyFill="1" applyBorder="1" applyAlignment="1" applyProtection="1">
      <alignment horizontal="left" vertic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2" fillId="0" borderId="37" xfId="0" applyNumberFormat="1" applyFont="1" applyFill="1" applyBorder="1" applyAlignment="1" applyProtection="1">
      <alignment horizontal="left" vertical="center"/>
    </xf>
    <xf numFmtId="49" fontId="11" fillId="0" borderId="32" xfId="0" applyNumberFormat="1" applyFont="1" applyFill="1" applyBorder="1" applyAlignment="1" applyProtection="1">
      <alignment horizontal="left" vertical="center"/>
    </xf>
    <xf numFmtId="0" fontId="11" fillId="0" borderId="36" xfId="0" applyNumberFormat="1" applyFont="1" applyFill="1" applyBorder="1" applyAlignment="1" applyProtection="1">
      <alignment horizontal="left" vertical="center"/>
    </xf>
    <xf numFmtId="49" fontId="12" fillId="0" borderId="32" xfId="0" applyNumberFormat="1" applyFont="1" applyFill="1" applyBorder="1" applyAlignment="1" applyProtection="1">
      <alignment horizontal="left" vertical="center"/>
    </xf>
    <xf numFmtId="0" fontId="12" fillId="0" borderId="36" xfId="0" applyNumberFormat="1" applyFont="1" applyFill="1" applyBorder="1" applyAlignment="1" applyProtection="1">
      <alignment horizontal="left" vertical="center"/>
    </xf>
    <xf numFmtId="49" fontId="9" fillId="0" borderId="28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49" fontId="13" fillId="0" borderId="32" xfId="0" applyNumberFormat="1" applyFont="1" applyFill="1" applyBorder="1" applyAlignment="1" applyProtection="1">
      <alignment horizontal="left" vertical="center"/>
    </xf>
    <xf numFmtId="0" fontId="13" fillId="0" borderId="36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4" fontId="1" fillId="0" borderId="21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/>
    </xf>
    <xf numFmtId="49" fontId="1" fillId="0" borderId="2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0</xdr:row>
      <xdr:rowOff>885825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885825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885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21"/>
  <sheetViews>
    <sheetView tabSelected="1" workbookViewId="0">
      <selection activeCell="AU7" sqref="AU7"/>
    </sheetView>
  </sheetViews>
  <sheetFormatPr defaultRowHeight="12.75"/>
  <cols>
    <col min="1" max="1" width="3.7109375" customWidth="1"/>
    <col min="2" max="2" width="5.5703125" customWidth="1"/>
    <col min="3" max="3" width="13.28515625" customWidth="1"/>
    <col min="4" max="4" width="50.85546875" customWidth="1"/>
    <col min="5" max="5" width="5" customWidth="1"/>
    <col min="6" max="6" width="11.28515625" customWidth="1"/>
    <col min="7" max="7" width="12" customWidth="1"/>
    <col min="8" max="8" width="11.42578125" customWidth="1"/>
    <col min="9" max="9" width="10.7109375" customWidth="1"/>
    <col min="10" max="10" width="11.28515625" customWidth="1"/>
    <col min="11" max="12" width="11.7109375" customWidth="1"/>
    <col min="13" max="13" width="0" hidden="1" customWidth="1"/>
    <col min="14" max="46" width="12.140625" hidden="1" customWidth="1"/>
    <col min="47" max="47" width="11.5703125"/>
  </cols>
  <sheetData>
    <row r="1" spans="1:42" ht="72.95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42">
      <c r="A2" s="85" t="s">
        <v>1</v>
      </c>
      <c r="B2" s="86"/>
      <c r="C2" s="86"/>
      <c r="D2" s="87" t="s">
        <v>190</v>
      </c>
      <c r="E2" s="89" t="s">
        <v>300</v>
      </c>
      <c r="F2" s="86"/>
      <c r="G2" s="89"/>
      <c r="H2" s="86"/>
      <c r="I2" s="90" t="s">
        <v>319</v>
      </c>
      <c r="J2" s="91" t="s">
        <v>415</v>
      </c>
      <c r="K2" s="92"/>
      <c r="L2" s="92"/>
      <c r="M2" s="29"/>
    </row>
    <row r="3" spans="1:42">
      <c r="A3" s="82"/>
      <c r="B3" s="68"/>
      <c r="C3" s="68"/>
      <c r="D3" s="88"/>
      <c r="E3" s="68"/>
      <c r="F3" s="68"/>
      <c r="G3" s="68"/>
      <c r="H3" s="68"/>
      <c r="I3" s="68"/>
      <c r="J3" s="81"/>
      <c r="K3" s="81"/>
      <c r="L3" s="81"/>
      <c r="M3" s="29"/>
    </row>
    <row r="4" spans="1:42">
      <c r="A4" s="74" t="s">
        <v>2</v>
      </c>
      <c r="B4" s="68"/>
      <c r="C4" s="68"/>
      <c r="D4" s="79" t="s">
        <v>413</v>
      </c>
      <c r="E4" s="77" t="s">
        <v>301</v>
      </c>
      <c r="F4" s="68"/>
      <c r="G4" s="78"/>
      <c r="H4" s="68"/>
      <c r="I4" s="67" t="s">
        <v>320</v>
      </c>
      <c r="J4" s="79" t="s">
        <v>416</v>
      </c>
      <c r="K4" s="81"/>
      <c r="L4" s="81"/>
      <c r="M4" s="29"/>
    </row>
    <row r="5" spans="1:42">
      <c r="A5" s="82"/>
      <c r="B5" s="68"/>
      <c r="C5" s="68"/>
      <c r="D5" s="81"/>
      <c r="E5" s="68"/>
      <c r="F5" s="68"/>
      <c r="G5" s="68"/>
      <c r="H5" s="68"/>
      <c r="I5" s="68"/>
      <c r="J5" s="81"/>
      <c r="K5" s="81"/>
      <c r="L5" s="81"/>
      <c r="M5" s="29"/>
    </row>
    <row r="6" spans="1:42">
      <c r="A6" s="74" t="s">
        <v>3</v>
      </c>
      <c r="B6" s="68"/>
      <c r="C6" s="68"/>
      <c r="D6" s="67" t="s">
        <v>191</v>
      </c>
      <c r="E6" s="77" t="s">
        <v>302</v>
      </c>
      <c r="F6" s="68"/>
      <c r="G6" s="68"/>
      <c r="H6" s="68"/>
      <c r="I6" s="67" t="s">
        <v>321</v>
      </c>
      <c r="J6" s="67"/>
      <c r="K6" s="68"/>
      <c r="L6" s="68"/>
      <c r="M6" s="29"/>
    </row>
    <row r="7" spans="1:42">
      <c r="A7" s="82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29"/>
    </row>
    <row r="8" spans="1:42">
      <c r="A8" s="74" t="s">
        <v>4</v>
      </c>
      <c r="B8" s="68"/>
      <c r="C8" s="68"/>
      <c r="D8" s="79" t="s">
        <v>414</v>
      </c>
      <c r="E8" s="77" t="s">
        <v>303</v>
      </c>
      <c r="F8" s="68"/>
      <c r="G8" s="78"/>
      <c r="H8" s="68"/>
      <c r="I8" s="67" t="s">
        <v>322</v>
      </c>
      <c r="J8" s="79" t="s">
        <v>416</v>
      </c>
      <c r="K8" s="81"/>
      <c r="L8" s="81"/>
      <c r="M8" s="29"/>
    </row>
    <row r="9" spans="1:42" ht="13.5" thickBot="1">
      <c r="A9" s="75"/>
      <c r="B9" s="76"/>
      <c r="C9" s="76"/>
      <c r="D9" s="80"/>
      <c r="E9" s="76"/>
      <c r="F9" s="76"/>
      <c r="G9" s="76"/>
      <c r="H9" s="76"/>
      <c r="I9" s="76"/>
      <c r="J9" s="81"/>
      <c r="K9" s="81"/>
      <c r="L9" s="81"/>
      <c r="M9" s="29"/>
    </row>
    <row r="10" spans="1:42">
      <c r="A10" s="1" t="s">
        <v>5</v>
      </c>
      <c r="B10" s="10" t="s">
        <v>96</v>
      </c>
      <c r="C10" s="10" t="s">
        <v>97</v>
      </c>
      <c r="D10" s="10" t="s">
        <v>192</v>
      </c>
      <c r="E10" s="10" t="s">
        <v>304</v>
      </c>
      <c r="F10" s="16" t="s">
        <v>313</v>
      </c>
      <c r="G10" s="20" t="s">
        <v>314</v>
      </c>
      <c r="H10" s="69" t="s">
        <v>316</v>
      </c>
      <c r="I10" s="70"/>
      <c r="J10" s="71"/>
      <c r="K10" s="69" t="s">
        <v>325</v>
      </c>
      <c r="L10" s="71"/>
      <c r="M10" s="30"/>
    </row>
    <row r="11" spans="1:42" ht="13.5" thickBot="1">
      <c r="A11" s="2" t="s">
        <v>6</v>
      </c>
      <c r="B11" s="11" t="s">
        <v>6</v>
      </c>
      <c r="C11" s="11" t="s">
        <v>6</v>
      </c>
      <c r="D11" s="14" t="s">
        <v>193</v>
      </c>
      <c r="E11" s="11" t="s">
        <v>6</v>
      </c>
      <c r="F11" s="11" t="s">
        <v>6</v>
      </c>
      <c r="G11" s="21" t="s">
        <v>315</v>
      </c>
      <c r="H11" s="22" t="s">
        <v>317</v>
      </c>
      <c r="I11" s="23" t="s">
        <v>323</v>
      </c>
      <c r="J11" s="24" t="s">
        <v>324</v>
      </c>
      <c r="K11" s="22" t="s">
        <v>314</v>
      </c>
      <c r="L11" s="24" t="s">
        <v>324</v>
      </c>
      <c r="M11" s="30"/>
      <c r="O11" s="26" t="s">
        <v>327</v>
      </c>
      <c r="P11" s="26" t="s">
        <v>328</v>
      </c>
      <c r="Q11" s="26" t="s">
        <v>331</v>
      </c>
      <c r="R11" s="26" t="s">
        <v>332</v>
      </c>
      <c r="S11" s="26" t="s">
        <v>333</v>
      </c>
      <c r="T11" s="26" t="s">
        <v>334</v>
      </c>
      <c r="U11" s="26" t="s">
        <v>335</v>
      </c>
      <c r="V11" s="26" t="s">
        <v>336</v>
      </c>
      <c r="W11" s="26" t="s">
        <v>337</v>
      </c>
    </row>
    <row r="12" spans="1:42">
      <c r="A12" s="3"/>
      <c r="B12" s="12"/>
      <c r="C12" s="12" t="s">
        <v>17</v>
      </c>
      <c r="D12" s="72" t="s">
        <v>194</v>
      </c>
      <c r="E12" s="73"/>
      <c r="F12" s="73"/>
      <c r="G12" s="73"/>
      <c r="H12" s="33">
        <f>SUM(H13:H13)</f>
        <v>0</v>
      </c>
      <c r="I12" s="33">
        <f>SUM(I13:I13)</f>
        <v>0</v>
      </c>
      <c r="J12" s="33">
        <f>H12+I12</f>
        <v>0</v>
      </c>
      <c r="K12" s="25"/>
      <c r="L12" s="33">
        <f>SUM(L13:L13)</f>
        <v>0.61950000000000005</v>
      </c>
      <c r="O12" s="34">
        <f>IF(P12="PR",J12,SUM(N13:N13))</f>
        <v>0</v>
      </c>
      <c r="P12" s="26" t="s">
        <v>329</v>
      </c>
      <c r="Q12" s="34">
        <f>IF(P12="HS",H12,0)</f>
        <v>0</v>
      </c>
      <c r="R12" s="34">
        <f>IF(P12="HS",I12-O12,0)</f>
        <v>0</v>
      </c>
      <c r="S12" s="34">
        <f>IF(P12="PS",H12,0)</f>
        <v>0</v>
      </c>
      <c r="T12" s="34">
        <f>IF(P12="PS",I12-O12,0)</f>
        <v>0</v>
      </c>
      <c r="U12" s="34">
        <f>IF(P12="MP",H12,0)</f>
        <v>0</v>
      </c>
      <c r="V12" s="34">
        <f>IF(P12="MP",I12-O12,0)</f>
        <v>0</v>
      </c>
      <c r="W12" s="34">
        <f>IF(P12="OM",H12,0)</f>
        <v>0</v>
      </c>
      <c r="X12" s="26"/>
      <c r="AH12" s="34">
        <f>SUM(Y13:Y13)</f>
        <v>0</v>
      </c>
      <c r="AI12" s="34">
        <f>SUM(Z13:Z13)</f>
        <v>0</v>
      </c>
      <c r="AJ12" s="34">
        <f>SUM(AA13:AA13)</f>
        <v>0</v>
      </c>
    </row>
    <row r="13" spans="1:42">
      <c r="A13" s="4" t="s">
        <v>7</v>
      </c>
      <c r="B13" s="4"/>
      <c r="C13" s="4" t="s">
        <v>98</v>
      </c>
      <c r="D13" s="4" t="s">
        <v>195</v>
      </c>
      <c r="E13" s="4" t="s">
        <v>305</v>
      </c>
      <c r="F13" s="17">
        <v>25</v>
      </c>
      <c r="G13" s="17">
        <v>0</v>
      </c>
      <c r="H13" s="17">
        <f>F13*AD13</f>
        <v>0</v>
      </c>
      <c r="I13" s="17">
        <f>J13-H13</f>
        <v>0</v>
      </c>
      <c r="J13" s="17">
        <f>F13*G13</f>
        <v>0</v>
      </c>
      <c r="K13" s="17">
        <v>2.478E-2</v>
      </c>
      <c r="L13" s="17">
        <f>F13*K13</f>
        <v>0.61950000000000005</v>
      </c>
      <c r="M13" s="27" t="s">
        <v>7</v>
      </c>
      <c r="N13" s="17">
        <f>IF(M13="5",I13,0)</f>
        <v>0</v>
      </c>
      <c r="Y13" s="17">
        <f>IF(AC13=0,J13,0)</f>
        <v>0</v>
      </c>
      <c r="Z13" s="17">
        <f>IF(AC13=15,J13,0)</f>
        <v>0</v>
      </c>
      <c r="AA13" s="17">
        <f>IF(AC13=21,J13,0)</f>
        <v>0</v>
      </c>
      <c r="AC13" s="31">
        <v>21</v>
      </c>
      <c r="AD13" s="31">
        <f>G13*0.380141843971631</f>
        <v>0</v>
      </c>
      <c r="AE13" s="31">
        <f>G13*(1-0.380141843971631)</f>
        <v>0</v>
      </c>
      <c r="AL13" s="31">
        <f>F13*AD13</f>
        <v>0</v>
      </c>
      <c r="AM13" s="31">
        <f>F13*AE13</f>
        <v>0</v>
      </c>
      <c r="AN13" s="32" t="s">
        <v>338</v>
      </c>
      <c r="AO13" s="32" t="s">
        <v>357</v>
      </c>
      <c r="AP13" s="26" t="s">
        <v>363</v>
      </c>
    </row>
    <row r="14" spans="1:42">
      <c r="A14" s="5"/>
      <c r="B14" s="13"/>
      <c r="C14" s="13" t="s">
        <v>18</v>
      </c>
      <c r="D14" s="63" t="s">
        <v>196</v>
      </c>
      <c r="E14" s="64"/>
      <c r="F14" s="64"/>
      <c r="G14" s="64"/>
      <c r="H14" s="34">
        <f>SUM(H15:H15)</f>
        <v>0</v>
      </c>
      <c r="I14" s="34">
        <f>SUM(I15:I15)</f>
        <v>0</v>
      </c>
      <c r="J14" s="34">
        <f>H14+I14</f>
        <v>0</v>
      </c>
      <c r="K14" s="26"/>
      <c r="L14" s="34">
        <f>SUM(L15:L15)</f>
        <v>0</v>
      </c>
      <c r="O14" s="34">
        <f>IF(P14="PR",J14,SUM(N15:N15))</f>
        <v>0</v>
      </c>
      <c r="P14" s="26" t="s">
        <v>329</v>
      </c>
      <c r="Q14" s="34">
        <f>IF(P14="HS",H14,0)</f>
        <v>0</v>
      </c>
      <c r="R14" s="34">
        <f>IF(P14="HS",I14-O14,0)</f>
        <v>0</v>
      </c>
      <c r="S14" s="34">
        <f>IF(P14="PS",H14,0)</f>
        <v>0</v>
      </c>
      <c r="T14" s="34">
        <f>IF(P14="PS",I14-O14,0)</f>
        <v>0</v>
      </c>
      <c r="U14" s="34">
        <f>IF(P14="MP",H14,0)</f>
        <v>0</v>
      </c>
      <c r="V14" s="34">
        <f>IF(P14="MP",I14-O14,0)</f>
        <v>0</v>
      </c>
      <c r="W14" s="34">
        <f>IF(P14="OM",H14,0)</f>
        <v>0</v>
      </c>
      <c r="X14" s="26"/>
      <c r="AH14" s="34">
        <f>SUM(Y15:Y15)</f>
        <v>0</v>
      </c>
      <c r="AI14" s="34">
        <f>SUM(Z15:Z15)</f>
        <v>0</v>
      </c>
      <c r="AJ14" s="34">
        <f>SUM(AA15:AA15)</f>
        <v>0</v>
      </c>
    </row>
    <row r="15" spans="1:42">
      <c r="A15" s="4" t="s">
        <v>8</v>
      </c>
      <c r="B15" s="4"/>
      <c r="C15" s="4" t="s">
        <v>99</v>
      </c>
      <c r="D15" s="4" t="s">
        <v>197</v>
      </c>
      <c r="E15" s="4" t="s">
        <v>306</v>
      </c>
      <c r="F15" s="17">
        <v>78</v>
      </c>
      <c r="G15" s="17">
        <v>0</v>
      </c>
      <c r="H15" s="17">
        <f>F15*AD15</f>
        <v>0</v>
      </c>
      <c r="I15" s="17">
        <f>J15-H15</f>
        <v>0</v>
      </c>
      <c r="J15" s="17">
        <f>F15*G15</f>
        <v>0</v>
      </c>
      <c r="K15" s="17">
        <v>0</v>
      </c>
      <c r="L15" s="17">
        <f>F15*K15</f>
        <v>0</v>
      </c>
      <c r="M15" s="27" t="s">
        <v>7</v>
      </c>
      <c r="N15" s="17">
        <f>IF(M15="5",I15,0)</f>
        <v>0</v>
      </c>
      <c r="Y15" s="17">
        <f>IF(AC15=0,J15,0)</f>
        <v>0</v>
      </c>
      <c r="Z15" s="17">
        <f>IF(AC15=15,J15,0)</f>
        <v>0</v>
      </c>
      <c r="AA15" s="17">
        <f>IF(AC15=21,J15,0)</f>
        <v>0</v>
      </c>
      <c r="AC15" s="31">
        <v>21</v>
      </c>
      <c r="AD15" s="31">
        <f>G15*0</f>
        <v>0</v>
      </c>
      <c r="AE15" s="31">
        <f>G15*(1-0)</f>
        <v>0</v>
      </c>
      <c r="AL15" s="31">
        <f>F15*AD15</f>
        <v>0</v>
      </c>
      <c r="AM15" s="31">
        <f>F15*AE15</f>
        <v>0</v>
      </c>
      <c r="AN15" s="32" t="s">
        <v>339</v>
      </c>
      <c r="AO15" s="32" t="s">
        <v>357</v>
      </c>
      <c r="AP15" s="26" t="s">
        <v>363</v>
      </c>
    </row>
    <row r="16" spans="1:42">
      <c r="A16" s="5"/>
      <c r="B16" s="13"/>
      <c r="C16" s="13" t="s">
        <v>19</v>
      </c>
      <c r="D16" s="63" t="s">
        <v>198</v>
      </c>
      <c r="E16" s="64"/>
      <c r="F16" s="64"/>
      <c r="G16" s="64"/>
      <c r="H16" s="34">
        <f>SUM(H17:H23)</f>
        <v>0</v>
      </c>
      <c r="I16" s="34">
        <f>SUM(I17:I23)</f>
        <v>0</v>
      </c>
      <c r="J16" s="34">
        <f>H16+I16</f>
        <v>0</v>
      </c>
      <c r="K16" s="26"/>
      <c r="L16" s="34">
        <f>SUM(L17:L23)</f>
        <v>0</v>
      </c>
      <c r="O16" s="34">
        <f>IF(P16="PR",J16,SUM(N17:N23))</f>
        <v>0</v>
      </c>
      <c r="P16" s="26" t="s">
        <v>329</v>
      </c>
      <c r="Q16" s="34">
        <f>IF(P16="HS",H16,0)</f>
        <v>0</v>
      </c>
      <c r="R16" s="34">
        <f>IF(P16="HS",I16-O16,0)</f>
        <v>0</v>
      </c>
      <c r="S16" s="34">
        <f>IF(P16="PS",H16,0)</f>
        <v>0</v>
      </c>
      <c r="T16" s="34">
        <f>IF(P16="PS",I16-O16,0)</f>
        <v>0</v>
      </c>
      <c r="U16" s="34">
        <f>IF(P16="MP",H16,0)</f>
        <v>0</v>
      </c>
      <c r="V16" s="34">
        <f>IF(P16="MP",I16-O16,0)</f>
        <v>0</v>
      </c>
      <c r="W16" s="34">
        <f>IF(P16="OM",H16,0)</f>
        <v>0</v>
      </c>
      <c r="X16" s="26"/>
      <c r="AH16" s="34">
        <f>SUM(Y17:Y23)</f>
        <v>0</v>
      </c>
      <c r="AI16" s="34">
        <f>SUM(Z17:Z23)</f>
        <v>0</v>
      </c>
      <c r="AJ16" s="34">
        <f>SUM(AA17:AA23)</f>
        <v>0</v>
      </c>
    </row>
    <row r="17" spans="1:42">
      <c r="A17" s="4" t="s">
        <v>9</v>
      </c>
      <c r="B17" s="4"/>
      <c r="C17" s="4" t="s">
        <v>100</v>
      </c>
      <c r="D17" s="4" t="s">
        <v>199</v>
      </c>
      <c r="E17" s="4" t="s">
        <v>306</v>
      </c>
      <c r="F17" s="17">
        <v>537</v>
      </c>
      <c r="G17" s="17">
        <v>0</v>
      </c>
      <c r="H17" s="17">
        <f t="shared" ref="H17:H23" si="0">F17*AD17</f>
        <v>0</v>
      </c>
      <c r="I17" s="17">
        <f t="shared" ref="I17:I23" si="1">J17-H17</f>
        <v>0</v>
      </c>
      <c r="J17" s="17">
        <f t="shared" ref="J17:J23" si="2">F17*G17</f>
        <v>0</v>
      </c>
      <c r="K17" s="17">
        <v>0</v>
      </c>
      <c r="L17" s="17">
        <f t="shared" ref="L17:L23" si="3">F17*K17</f>
        <v>0</v>
      </c>
      <c r="M17" s="27" t="s">
        <v>7</v>
      </c>
      <c r="N17" s="17">
        <f t="shared" ref="N17:N23" si="4">IF(M17="5",I17,0)</f>
        <v>0</v>
      </c>
      <c r="Y17" s="17">
        <f t="shared" ref="Y17:Y23" si="5">IF(AC17=0,J17,0)</f>
        <v>0</v>
      </c>
      <c r="Z17" s="17">
        <f t="shared" ref="Z17:Z23" si="6">IF(AC17=15,J17,0)</f>
        <v>0</v>
      </c>
      <c r="AA17" s="17">
        <f t="shared" ref="AA17:AA23" si="7">IF(AC17=21,J17,0)</f>
        <v>0</v>
      </c>
      <c r="AC17" s="31">
        <v>21</v>
      </c>
      <c r="AD17" s="31">
        <f t="shared" ref="AD17:AD23" si="8">G17*0</f>
        <v>0</v>
      </c>
      <c r="AE17" s="31">
        <f t="shared" ref="AE17:AE23" si="9">G17*(1-0)</f>
        <v>0</v>
      </c>
      <c r="AL17" s="31">
        <f t="shared" ref="AL17:AL23" si="10">F17*AD17</f>
        <v>0</v>
      </c>
      <c r="AM17" s="31">
        <f t="shared" ref="AM17:AM23" si="11">F17*AE17</f>
        <v>0</v>
      </c>
      <c r="AN17" s="32" t="s">
        <v>340</v>
      </c>
      <c r="AO17" s="32" t="s">
        <v>357</v>
      </c>
      <c r="AP17" s="26" t="s">
        <v>363</v>
      </c>
    </row>
    <row r="18" spans="1:42">
      <c r="A18" s="4" t="s">
        <v>10</v>
      </c>
      <c r="B18" s="4"/>
      <c r="C18" s="4" t="s">
        <v>101</v>
      </c>
      <c r="D18" s="4" t="s">
        <v>200</v>
      </c>
      <c r="E18" s="4" t="s">
        <v>306</v>
      </c>
      <c r="F18" s="17">
        <v>161</v>
      </c>
      <c r="G18" s="17">
        <v>0</v>
      </c>
      <c r="H18" s="17">
        <f t="shared" si="0"/>
        <v>0</v>
      </c>
      <c r="I18" s="17">
        <f t="shared" si="1"/>
        <v>0</v>
      </c>
      <c r="J18" s="17">
        <f t="shared" si="2"/>
        <v>0</v>
      </c>
      <c r="K18" s="17">
        <v>0</v>
      </c>
      <c r="L18" s="17">
        <f t="shared" si="3"/>
        <v>0</v>
      </c>
      <c r="M18" s="27" t="s">
        <v>7</v>
      </c>
      <c r="N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0</v>
      </c>
      <c r="AC18" s="31">
        <v>21</v>
      </c>
      <c r="AD18" s="31">
        <f t="shared" si="8"/>
        <v>0</v>
      </c>
      <c r="AE18" s="31">
        <f t="shared" si="9"/>
        <v>0</v>
      </c>
      <c r="AL18" s="31">
        <f t="shared" si="10"/>
        <v>0</v>
      </c>
      <c r="AM18" s="31">
        <f t="shared" si="11"/>
        <v>0</v>
      </c>
      <c r="AN18" s="32" t="s">
        <v>340</v>
      </c>
      <c r="AO18" s="32" t="s">
        <v>357</v>
      </c>
      <c r="AP18" s="26" t="s">
        <v>363</v>
      </c>
    </row>
    <row r="19" spans="1:42">
      <c r="A19" s="4" t="s">
        <v>11</v>
      </c>
      <c r="B19" s="4"/>
      <c r="C19" s="4" t="s">
        <v>102</v>
      </c>
      <c r="D19" s="4" t="s">
        <v>201</v>
      </c>
      <c r="E19" s="4" t="s">
        <v>306</v>
      </c>
      <c r="F19" s="17">
        <v>429</v>
      </c>
      <c r="G19" s="17">
        <v>0</v>
      </c>
      <c r="H19" s="17">
        <f t="shared" si="0"/>
        <v>0</v>
      </c>
      <c r="I19" s="17">
        <f t="shared" si="1"/>
        <v>0</v>
      </c>
      <c r="J19" s="17">
        <f t="shared" si="2"/>
        <v>0</v>
      </c>
      <c r="K19" s="17">
        <v>0</v>
      </c>
      <c r="L19" s="17">
        <f t="shared" si="3"/>
        <v>0</v>
      </c>
      <c r="M19" s="27" t="s">
        <v>7</v>
      </c>
      <c r="N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0</v>
      </c>
      <c r="AC19" s="31">
        <v>21</v>
      </c>
      <c r="AD19" s="31">
        <f t="shared" si="8"/>
        <v>0</v>
      </c>
      <c r="AE19" s="31">
        <f t="shared" si="9"/>
        <v>0</v>
      </c>
      <c r="AL19" s="31">
        <f t="shared" si="10"/>
        <v>0</v>
      </c>
      <c r="AM19" s="31">
        <f t="shared" si="11"/>
        <v>0</v>
      </c>
      <c r="AN19" s="32" t="s">
        <v>340</v>
      </c>
      <c r="AO19" s="32" t="s">
        <v>357</v>
      </c>
      <c r="AP19" s="26" t="s">
        <v>363</v>
      </c>
    </row>
    <row r="20" spans="1:42">
      <c r="A20" s="4" t="s">
        <v>12</v>
      </c>
      <c r="B20" s="4"/>
      <c r="C20" s="4" t="s">
        <v>103</v>
      </c>
      <c r="D20" s="4" t="s">
        <v>202</v>
      </c>
      <c r="E20" s="4" t="s">
        <v>306</v>
      </c>
      <c r="F20" s="17">
        <v>129</v>
      </c>
      <c r="G20" s="17">
        <v>0</v>
      </c>
      <c r="H20" s="17">
        <f t="shared" si="0"/>
        <v>0</v>
      </c>
      <c r="I20" s="17">
        <f t="shared" si="1"/>
        <v>0</v>
      </c>
      <c r="J20" s="17">
        <f t="shared" si="2"/>
        <v>0</v>
      </c>
      <c r="K20" s="17">
        <v>0</v>
      </c>
      <c r="L20" s="17">
        <f t="shared" si="3"/>
        <v>0</v>
      </c>
      <c r="M20" s="27" t="s">
        <v>7</v>
      </c>
      <c r="N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0</v>
      </c>
      <c r="AC20" s="31">
        <v>21</v>
      </c>
      <c r="AD20" s="31">
        <f t="shared" si="8"/>
        <v>0</v>
      </c>
      <c r="AE20" s="31">
        <f t="shared" si="9"/>
        <v>0</v>
      </c>
      <c r="AL20" s="31">
        <f t="shared" si="10"/>
        <v>0</v>
      </c>
      <c r="AM20" s="31">
        <f t="shared" si="11"/>
        <v>0</v>
      </c>
      <c r="AN20" s="32" t="s">
        <v>340</v>
      </c>
      <c r="AO20" s="32" t="s">
        <v>357</v>
      </c>
      <c r="AP20" s="26" t="s">
        <v>363</v>
      </c>
    </row>
    <row r="21" spans="1:42">
      <c r="A21" s="4" t="s">
        <v>13</v>
      </c>
      <c r="B21" s="4"/>
      <c r="C21" s="4" t="s">
        <v>104</v>
      </c>
      <c r="D21" s="4" t="s">
        <v>203</v>
      </c>
      <c r="E21" s="4" t="s">
        <v>306</v>
      </c>
      <c r="F21" s="17">
        <v>107</v>
      </c>
      <c r="G21" s="17">
        <v>0</v>
      </c>
      <c r="H21" s="17">
        <f t="shared" si="0"/>
        <v>0</v>
      </c>
      <c r="I21" s="17">
        <f t="shared" si="1"/>
        <v>0</v>
      </c>
      <c r="J21" s="17">
        <f t="shared" si="2"/>
        <v>0</v>
      </c>
      <c r="K21" s="17">
        <v>0</v>
      </c>
      <c r="L21" s="17">
        <f t="shared" si="3"/>
        <v>0</v>
      </c>
      <c r="M21" s="27" t="s">
        <v>7</v>
      </c>
      <c r="N21" s="17">
        <f t="shared" si="4"/>
        <v>0</v>
      </c>
      <c r="Y21" s="17">
        <f t="shared" si="5"/>
        <v>0</v>
      </c>
      <c r="Z21" s="17">
        <f t="shared" si="6"/>
        <v>0</v>
      </c>
      <c r="AA21" s="17">
        <f t="shared" si="7"/>
        <v>0</v>
      </c>
      <c r="AC21" s="31">
        <v>21</v>
      </c>
      <c r="AD21" s="31">
        <f t="shared" si="8"/>
        <v>0</v>
      </c>
      <c r="AE21" s="31">
        <f t="shared" si="9"/>
        <v>0</v>
      </c>
      <c r="AL21" s="31">
        <f t="shared" si="10"/>
        <v>0</v>
      </c>
      <c r="AM21" s="31">
        <f t="shared" si="11"/>
        <v>0</v>
      </c>
      <c r="AN21" s="32" t="s">
        <v>340</v>
      </c>
      <c r="AO21" s="32" t="s">
        <v>357</v>
      </c>
      <c r="AP21" s="26" t="s">
        <v>363</v>
      </c>
    </row>
    <row r="22" spans="1:42">
      <c r="A22" s="4" t="s">
        <v>14</v>
      </c>
      <c r="B22" s="4"/>
      <c r="C22" s="4" t="s">
        <v>105</v>
      </c>
      <c r="D22" s="4" t="s">
        <v>204</v>
      </c>
      <c r="E22" s="4" t="s">
        <v>306</v>
      </c>
      <c r="F22" s="17">
        <v>24</v>
      </c>
      <c r="G22" s="17">
        <v>0</v>
      </c>
      <c r="H22" s="17">
        <f t="shared" si="0"/>
        <v>0</v>
      </c>
      <c r="I22" s="17">
        <f t="shared" si="1"/>
        <v>0</v>
      </c>
      <c r="J22" s="17">
        <f t="shared" si="2"/>
        <v>0</v>
      </c>
      <c r="K22" s="17">
        <v>0</v>
      </c>
      <c r="L22" s="17">
        <f t="shared" si="3"/>
        <v>0</v>
      </c>
      <c r="M22" s="27" t="s">
        <v>7</v>
      </c>
      <c r="N22" s="17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0</v>
      </c>
      <c r="AC22" s="31">
        <v>21</v>
      </c>
      <c r="AD22" s="31">
        <f t="shared" si="8"/>
        <v>0</v>
      </c>
      <c r="AE22" s="31">
        <f t="shared" si="9"/>
        <v>0</v>
      </c>
      <c r="AL22" s="31">
        <f t="shared" si="10"/>
        <v>0</v>
      </c>
      <c r="AM22" s="31">
        <f t="shared" si="11"/>
        <v>0</v>
      </c>
      <c r="AN22" s="32" t="s">
        <v>340</v>
      </c>
      <c r="AO22" s="32" t="s">
        <v>357</v>
      </c>
      <c r="AP22" s="26" t="s">
        <v>363</v>
      </c>
    </row>
    <row r="23" spans="1:42">
      <c r="A23" s="4" t="s">
        <v>15</v>
      </c>
      <c r="B23" s="4"/>
      <c r="C23" s="4" t="s">
        <v>106</v>
      </c>
      <c r="D23" s="4" t="s">
        <v>205</v>
      </c>
      <c r="E23" s="4" t="s">
        <v>306</v>
      </c>
      <c r="F23" s="17">
        <v>24</v>
      </c>
      <c r="G23" s="17">
        <v>0</v>
      </c>
      <c r="H23" s="17">
        <f t="shared" si="0"/>
        <v>0</v>
      </c>
      <c r="I23" s="17">
        <f t="shared" si="1"/>
        <v>0</v>
      </c>
      <c r="J23" s="17">
        <f t="shared" si="2"/>
        <v>0</v>
      </c>
      <c r="K23" s="17">
        <v>0</v>
      </c>
      <c r="L23" s="17">
        <f t="shared" si="3"/>
        <v>0</v>
      </c>
      <c r="M23" s="27" t="s">
        <v>7</v>
      </c>
      <c r="N23" s="17">
        <f t="shared" si="4"/>
        <v>0</v>
      </c>
      <c r="Y23" s="17">
        <f t="shared" si="5"/>
        <v>0</v>
      </c>
      <c r="Z23" s="17">
        <f t="shared" si="6"/>
        <v>0</v>
      </c>
      <c r="AA23" s="17">
        <f t="shared" si="7"/>
        <v>0</v>
      </c>
      <c r="AC23" s="31">
        <v>21</v>
      </c>
      <c r="AD23" s="31">
        <f t="shared" si="8"/>
        <v>0</v>
      </c>
      <c r="AE23" s="31">
        <f t="shared" si="9"/>
        <v>0</v>
      </c>
      <c r="AL23" s="31">
        <f t="shared" si="10"/>
        <v>0</v>
      </c>
      <c r="AM23" s="31">
        <f t="shared" si="11"/>
        <v>0</v>
      </c>
      <c r="AN23" s="32" t="s">
        <v>340</v>
      </c>
      <c r="AO23" s="32" t="s">
        <v>357</v>
      </c>
      <c r="AP23" s="26" t="s">
        <v>363</v>
      </c>
    </row>
    <row r="24" spans="1:42">
      <c r="A24" s="5"/>
      <c r="B24" s="13"/>
      <c r="C24" s="13" t="s">
        <v>20</v>
      </c>
      <c r="D24" s="63" t="s">
        <v>206</v>
      </c>
      <c r="E24" s="64"/>
      <c r="F24" s="64"/>
      <c r="G24" s="64"/>
      <c r="H24" s="34">
        <f>SUM(H25:H25)</f>
        <v>0</v>
      </c>
      <c r="I24" s="34">
        <f>SUM(I25:I25)</f>
        <v>0</v>
      </c>
      <c r="J24" s="34">
        <f>H24+I24</f>
        <v>0</v>
      </c>
      <c r="K24" s="26"/>
      <c r="L24" s="34">
        <f>SUM(L25:L25)</f>
        <v>0.21923999999999999</v>
      </c>
      <c r="O24" s="34">
        <f>IF(P24="PR",J24,SUM(N25:N25))</f>
        <v>0</v>
      </c>
      <c r="P24" s="26" t="s">
        <v>329</v>
      </c>
      <c r="Q24" s="34">
        <f>IF(P24="HS",H24,0)</f>
        <v>0</v>
      </c>
      <c r="R24" s="34">
        <f>IF(P24="HS",I24-O24,0)</f>
        <v>0</v>
      </c>
      <c r="S24" s="34">
        <f>IF(P24="PS",H24,0)</f>
        <v>0</v>
      </c>
      <c r="T24" s="34">
        <f>IF(P24="PS",I24-O24,0)</f>
        <v>0</v>
      </c>
      <c r="U24" s="34">
        <f>IF(P24="MP",H24,0)</f>
        <v>0</v>
      </c>
      <c r="V24" s="34">
        <f>IF(P24="MP",I24-O24,0)</f>
        <v>0</v>
      </c>
      <c r="W24" s="34">
        <f>IF(P24="OM",H24,0)</f>
        <v>0</v>
      </c>
      <c r="X24" s="26"/>
      <c r="AH24" s="34">
        <f>SUM(Y25:Y25)</f>
        <v>0</v>
      </c>
      <c r="AI24" s="34">
        <f>SUM(Z25:Z25)</f>
        <v>0</v>
      </c>
      <c r="AJ24" s="34">
        <f>SUM(AA25:AA25)</f>
        <v>0</v>
      </c>
    </row>
    <row r="25" spans="1:42">
      <c r="A25" s="4" t="s">
        <v>16</v>
      </c>
      <c r="B25" s="4"/>
      <c r="C25" s="4" t="s">
        <v>107</v>
      </c>
      <c r="D25" s="4" t="s">
        <v>207</v>
      </c>
      <c r="E25" s="4" t="s">
        <v>305</v>
      </c>
      <c r="F25" s="17">
        <v>21</v>
      </c>
      <c r="G25" s="17">
        <v>0</v>
      </c>
      <c r="H25" s="17">
        <f>F25*AD25</f>
        <v>0</v>
      </c>
      <c r="I25" s="17">
        <f>J25-H25</f>
        <v>0</v>
      </c>
      <c r="J25" s="17">
        <f>F25*G25</f>
        <v>0</v>
      </c>
      <c r="K25" s="17">
        <v>1.044E-2</v>
      </c>
      <c r="L25" s="17">
        <f>F25*K25</f>
        <v>0.21923999999999999</v>
      </c>
      <c r="M25" s="27" t="s">
        <v>7</v>
      </c>
      <c r="N25" s="17">
        <f>IF(M25="5",I25,0)</f>
        <v>0</v>
      </c>
      <c r="Y25" s="17">
        <f>IF(AC25=0,J25,0)</f>
        <v>0</v>
      </c>
      <c r="Z25" s="17">
        <f>IF(AC25=15,J25,0)</f>
        <v>0</v>
      </c>
      <c r="AA25" s="17">
        <f>IF(AC25=21,J25,0)</f>
        <v>0</v>
      </c>
      <c r="AC25" s="31">
        <v>21</v>
      </c>
      <c r="AD25" s="31">
        <f>G25*0.00991527987897126</f>
        <v>0</v>
      </c>
      <c r="AE25" s="31">
        <f>G25*(1-0.00991527987897126)</f>
        <v>0</v>
      </c>
      <c r="AL25" s="31">
        <f>F25*AD25</f>
        <v>0</v>
      </c>
      <c r="AM25" s="31">
        <f>F25*AE25</f>
        <v>0</v>
      </c>
      <c r="AN25" s="32" t="s">
        <v>341</v>
      </c>
      <c r="AO25" s="32" t="s">
        <v>357</v>
      </c>
      <c r="AP25" s="26" t="s">
        <v>363</v>
      </c>
    </row>
    <row r="26" spans="1:42">
      <c r="A26" s="5"/>
      <c r="B26" s="13"/>
      <c r="C26" s="13" t="s">
        <v>21</v>
      </c>
      <c r="D26" s="63" t="s">
        <v>208</v>
      </c>
      <c r="E26" s="64"/>
      <c r="F26" s="64"/>
      <c r="G26" s="64"/>
      <c r="H26" s="34">
        <f>SUM(H27:H28)</f>
        <v>0</v>
      </c>
      <c r="I26" s="34">
        <f>SUM(I27:I28)</f>
        <v>0</v>
      </c>
      <c r="J26" s="34">
        <f>H26+I26</f>
        <v>0</v>
      </c>
      <c r="K26" s="26"/>
      <c r="L26" s="34">
        <f>SUM(L27:L28)</f>
        <v>1.78708</v>
      </c>
      <c r="O26" s="34">
        <f>IF(P26="PR",J26,SUM(N27:N28))</f>
        <v>0</v>
      </c>
      <c r="P26" s="26" t="s">
        <v>329</v>
      </c>
      <c r="Q26" s="34">
        <f>IF(P26="HS",H26,0)</f>
        <v>0</v>
      </c>
      <c r="R26" s="34">
        <f>IF(P26="HS",I26-O26,0)</f>
        <v>0</v>
      </c>
      <c r="S26" s="34">
        <f>IF(P26="PS",H26,0)</f>
        <v>0</v>
      </c>
      <c r="T26" s="34">
        <f>IF(P26="PS",I26-O26,0)</f>
        <v>0</v>
      </c>
      <c r="U26" s="34">
        <f>IF(P26="MP",H26,0)</f>
        <v>0</v>
      </c>
      <c r="V26" s="34">
        <f>IF(P26="MP",I26-O26,0)</f>
        <v>0</v>
      </c>
      <c r="W26" s="34">
        <f>IF(P26="OM",H26,0)</f>
        <v>0</v>
      </c>
      <c r="X26" s="26"/>
      <c r="AH26" s="34">
        <f>SUM(Y27:Y28)</f>
        <v>0</v>
      </c>
      <c r="AI26" s="34">
        <f>SUM(Z27:Z28)</f>
        <v>0</v>
      </c>
      <c r="AJ26" s="34">
        <f>SUM(AA27:AA28)</f>
        <v>0</v>
      </c>
    </row>
    <row r="27" spans="1:42">
      <c r="A27" s="4" t="s">
        <v>17</v>
      </c>
      <c r="B27" s="4"/>
      <c r="C27" s="4" t="s">
        <v>108</v>
      </c>
      <c r="D27" s="4" t="s">
        <v>209</v>
      </c>
      <c r="E27" s="4" t="s">
        <v>307</v>
      </c>
      <c r="F27" s="17">
        <v>2078</v>
      </c>
      <c r="G27" s="17">
        <v>0</v>
      </c>
      <c r="H27" s="17">
        <f>F27*AD27</f>
        <v>0</v>
      </c>
      <c r="I27" s="17">
        <f>J27-H27</f>
        <v>0</v>
      </c>
      <c r="J27" s="17">
        <f>F27*G27</f>
        <v>0</v>
      </c>
      <c r="K27" s="17">
        <v>8.5999999999999998E-4</v>
      </c>
      <c r="L27" s="17">
        <f>F27*K27</f>
        <v>1.78708</v>
      </c>
      <c r="M27" s="27" t="s">
        <v>7</v>
      </c>
      <c r="N27" s="17">
        <f>IF(M27="5",I27,0)</f>
        <v>0</v>
      </c>
      <c r="Y27" s="17">
        <f>IF(AC27=0,J27,0)</f>
        <v>0</v>
      </c>
      <c r="Z27" s="17">
        <f>IF(AC27=15,J27,0)</f>
        <v>0</v>
      </c>
      <c r="AA27" s="17">
        <f>IF(AC27=21,J27,0)</f>
        <v>0</v>
      </c>
      <c r="AC27" s="31">
        <v>21</v>
      </c>
      <c r="AD27" s="31">
        <f>G27*0.0796981409902448</f>
        <v>0</v>
      </c>
      <c r="AE27" s="31">
        <f>G27*(1-0.0796981409902448)</f>
        <v>0</v>
      </c>
      <c r="AL27" s="31">
        <f>F27*AD27</f>
        <v>0</v>
      </c>
      <c r="AM27" s="31">
        <f>F27*AE27</f>
        <v>0</v>
      </c>
      <c r="AN27" s="32" t="s">
        <v>342</v>
      </c>
      <c r="AO27" s="32" t="s">
        <v>357</v>
      </c>
      <c r="AP27" s="26" t="s">
        <v>363</v>
      </c>
    </row>
    <row r="28" spans="1:42">
      <c r="A28" s="4" t="s">
        <v>18</v>
      </c>
      <c r="B28" s="4"/>
      <c r="C28" s="4" t="s">
        <v>109</v>
      </c>
      <c r="D28" s="4" t="s">
        <v>210</v>
      </c>
      <c r="E28" s="4" t="s">
        <v>307</v>
      </c>
      <c r="F28" s="17">
        <v>2078</v>
      </c>
      <c r="G28" s="17">
        <v>0</v>
      </c>
      <c r="H28" s="17">
        <f>F28*AD28</f>
        <v>0</v>
      </c>
      <c r="I28" s="17">
        <f>J28-H28</f>
        <v>0</v>
      </c>
      <c r="J28" s="17">
        <f>F28*G28</f>
        <v>0</v>
      </c>
      <c r="K28" s="17">
        <v>0</v>
      </c>
      <c r="L28" s="17">
        <f>F28*K28</f>
        <v>0</v>
      </c>
      <c r="M28" s="27" t="s">
        <v>7</v>
      </c>
      <c r="N28" s="17">
        <f>IF(M28="5",I28,0)</f>
        <v>0</v>
      </c>
      <c r="Y28" s="17">
        <f>IF(AC28=0,J28,0)</f>
        <v>0</v>
      </c>
      <c r="Z28" s="17">
        <f>IF(AC28=15,J28,0)</f>
        <v>0</v>
      </c>
      <c r="AA28" s="17">
        <f>IF(AC28=21,J28,0)</f>
        <v>0</v>
      </c>
      <c r="AC28" s="31">
        <v>21</v>
      </c>
      <c r="AD28" s="31">
        <f>G28*0</f>
        <v>0</v>
      </c>
      <c r="AE28" s="31">
        <f>G28*(1-0)</f>
        <v>0</v>
      </c>
      <c r="AL28" s="31">
        <f>F28*AD28</f>
        <v>0</v>
      </c>
      <c r="AM28" s="31">
        <f>F28*AE28</f>
        <v>0</v>
      </c>
      <c r="AN28" s="32" t="s">
        <v>342</v>
      </c>
      <c r="AO28" s="32" t="s">
        <v>357</v>
      </c>
      <c r="AP28" s="26" t="s">
        <v>363</v>
      </c>
    </row>
    <row r="29" spans="1:42">
      <c r="A29" s="5"/>
      <c r="B29" s="13"/>
      <c r="C29" s="13" t="s">
        <v>22</v>
      </c>
      <c r="D29" s="63" t="s">
        <v>211</v>
      </c>
      <c r="E29" s="64"/>
      <c r="F29" s="64"/>
      <c r="G29" s="64"/>
      <c r="H29" s="34">
        <f>SUM(H30:H31)</f>
        <v>0</v>
      </c>
      <c r="I29" s="34">
        <f>SUM(I30:I31)</f>
        <v>0</v>
      </c>
      <c r="J29" s="34">
        <f>H29+I29</f>
        <v>0</v>
      </c>
      <c r="K29" s="26"/>
      <c r="L29" s="34">
        <f>SUM(L30:L31)</f>
        <v>0</v>
      </c>
      <c r="O29" s="34">
        <f>IF(P29="PR",J29,SUM(N30:N31))</f>
        <v>0</v>
      </c>
      <c r="P29" s="26" t="s">
        <v>329</v>
      </c>
      <c r="Q29" s="34">
        <f>IF(P29="HS",H29,0)</f>
        <v>0</v>
      </c>
      <c r="R29" s="34">
        <f>IF(P29="HS",I29-O29,0)</f>
        <v>0</v>
      </c>
      <c r="S29" s="34">
        <f>IF(P29="PS",H29,0)</f>
        <v>0</v>
      </c>
      <c r="T29" s="34">
        <f>IF(P29="PS",I29-O29,0)</f>
        <v>0</v>
      </c>
      <c r="U29" s="34">
        <f>IF(P29="MP",H29,0)</f>
        <v>0</v>
      </c>
      <c r="V29" s="34">
        <f>IF(P29="MP",I29-O29,0)</f>
        <v>0</v>
      </c>
      <c r="W29" s="34">
        <f>IF(P29="OM",H29,0)</f>
        <v>0</v>
      </c>
      <c r="X29" s="26"/>
      <c r="AH29" s="34">
        <f>SUM(Y30:Y31)</f>
        <v>0</v>
      </c>
      <c r="AI29" s="34">
        <f>SUM(Z30:Z31)</f>
        <v>0</v>
      </c>
      <c r="AJ29" s="34">
        <f>SUM(AA30:AA31)</f>
        <v>0</v>
      </c>
    </row>
    <row r="30" spans="1:42">
      <c r="A30" s="4" t="s">
        <v>19</v>
      </c>
      <c r="B30" s="4"/>
      <c r="C30" s="4" t="s">
        <v>110</v>
      </c>
      <c r="D30" s="4" t="s">
        <v>212</v>
      </c>
      <c r="E30" s="4" t="s">
        <v>306</v>
      </c>
      <c r="F30" s="17">
        <v>199</v>
      </c>
      <c r="G30" s="17">
        <v>0</v>
      </c>
      <c r="H30" s="17">
        <f>F30*AD30</f>
        <v>0</v>
      </c>
      <c r="I30" s="17">
        <f>J30-H30</f>
        <v>0</v>
      </c>
      <c r="J30" s="17">
        <f>F30*G30</f>
        <v>0</v>
      </c>
      <c r="K30" s="17">
        <v>0</v>
      </c>
      <c r="L30" s="17">
        <f>F30*K30</f>
        <v>0</v>
      </c>
      <c r="M30" s="27" t="s">
        <v>7</v>
      </c>
      <c r="N30" s="17">
        <f>IF(M30="5",I30,0)</f>
        <v>0</v>
      </c>
      <c r="Y30" s="17">
        <f>IF(AC30=0,J30,0)</f>
        <v>0</v>
      </c>
      <c r="Z30" s="17">
        <f>IF(AC30=15,J30,0)</f>
        <v>0</v>
      </c>
      <c r="AA30" s="17">
        <f>IF(AC30=21,J30,0)</f>
        <v>0</v>
      </c>
      <c r="AC30" s="31">
        <v>21</v>
      </c>
      <c r="AD30" s="31">
        <f>G30*0</f>
        <v>0</v>
      </c>
      <c r="AE30" s="31">
        <f>G30*(1-0)</f>
        <v>0</v>
      </c>
      <c r="AL30" s="31">
        <f>F30*AD30</f>
        <v>0</v>
      </c>
      <c r="AM30" s="31">
        <f>F30*AE30</f>
        <v>0</v>
      </c>
      <c r="AN30" s="32" t="s">
        <v>343</v>
      </c>
      <c r="AO30" s="32" t="s">
        <v>357</v>
      </c>
      <c r="AP30" s="26" t="s">
        <v>363</v>
      </c>
    </row>
    <row r="31" spans="1:42">
      <c r="A31" s="4" t="s">
        <v>20</v>
      </c>
      <c r="B31" s="4"/>
      <c r="C31" s="4" t="s">
        <v>111</v>
      </c>
      <c r="D31" s="4" t="s">
        <v>213</v>
      </c>
      <c r="E31" s="4" t="s">
        <v>306</v>
      </c>
      <c r="F31" s="17">
        <v>199</v>
      </c>
      <c r="G31" s="17">
        <v>0</v>
      </c>
      <c r="H31" s="17">
        <f>F31*AD31</f>
        <v>0</v>
      </c>
      <c r="I31" s="17">
        <f>J31-H31</f>
        <v>0</v>
      </c>
      <c r="J31" s="17">
        <f>F31*G31</f>
        <v>0</v>
      </c>
      <c r="K31" s="17">
        <v>0</v>
      </c>
      <c r="L31" s="17">
        <f>F31*K31</f>
        <v>0</v>
      </c>
      <c r="M31" s="27" t="s">
        <v>7</v>
      </c>
      <c r="N31" s="17">
        <f>IF(M31="5",I31,0)</f>
        <v>0</v>
      </c>
      <c r="Y31" s="17">
        <f>IF(AC31=0,J31,0)</f>
        <v>0</v>
      </c>
      <c r="Z31" s="17">
        <f>IF(AC31=15,J31,0)</f>
        <v>0</v>
      </c>
      <c r="AA31" s="17">
        <f>IF(AC31=21,J31,0)</f>
        <v>0</v>
      </c>
      <c r="AC31" s="31">
        <v>21</v>
      </c>
      <c r="AD31" s="31">
        <f>G31*0</f>
        <v>0</v>
      </c>
      <c r="AE31" s="31">
        <f>G31*(1-0)</f>
        <v>0</v>
      </c>
      <c r="AL31" s="31">
        <f>F31*AD31</f>
        <v>0</v>
      </c>
      <c r="AM31" s="31">
        <f>F31*AE31</f>
        <v>0</v>
      </c>
      <c r="AN31" s="32" t="s">
        <v>343</v>
      </c>
      <c r="AO31" s="32" t="s">
        <v>357</v>
      </c>
      <c r="AP31" s="26" t="s">
        <v>363</v>
      </c>
    </row>
    <row r="32" spans="1:42">
      <c r="A32" s="5"/>
      <c r="B32" s="13"/>
      <c r="C32" s="13" t="s">
        <v>23</v>
      </c>
      <c r="D32" s="63" t="s">
        <v>214</v>
      </c>
      <c r="E32" s="64"/>
      <c r="F32" s="64"/>
      <c r="G32" s="64"/>
      <c r="H32" s="34">
        <f>SUM(H33:H36)</f>
        <v>0</v>
      </c>
      <c r="I32" s="34">
        <f>SUM(I33:I36)</f>
        <v>0</v>
      </c>
      <c r="J32" s="34">
        <f>H32+I32</f>
        <v>0</v>
      </c>
      <c r="K32" s="26"/>
      <c r="L32" s="34">
        <f>SUM(L33:L36)</f>
        <v>249.9</v>
      </c>
      <c r="O32" s="34">
        <f>IF(P32="PR",J32,SUM(N33:N36))</f>
        <v>0</v>
      </c>
      <c r="P32" s="26" t="s">
        <v>329</v>
      </c>
      <c r="Q32" s="34">
        <f>IF(P32="HS",H32,0)</f>
        <v>0</v>
      </c>
      <c r="R32" s="34">
        <f>IF(P32="HS",I32-O32,0)</f>
        <v>0</v>
      </c>
      <c r="S32" s="34">
        <f>IF(P32="PS",H32,0)</f>
        <v>0</v>
      </c>
      <c r="T32" s="34">
        <f>IF(P32="PS",I32-O32,0)</f>
        <v>0</v>
      </c>
      <c r="U32" s="34">
        <f>IF(P32="MP",H32,0)</f>
        <v>0</v>
      </c>
      <c r="V32" s="34">
        <f>IF(P32="MP",I32-O32,0)</f>
        <v>0</v>
      </c>
      <c r="W32" s="34">
        <f>IF(P32="OM",H32,0)</f>
        <v>0</v>
      </c>
      <c r="X32" s="26"/>
      <c r="AH32" s="34">
        <f>SUM(Y33:Y36)</f>
        <v>0</v>
      </c>
      <c r="AI32" s="34">
        <f>SUM(Z33:Z36)</f>
        <v>0</v>
      </c>
      <c r="AJ32" s="34">
        <f>SUM(AA33:AA36)</f>
        <v>0</v>
      </c>
    </row>
    <row r="33" spans="1:42">
      <c r="A33" s="4" t="s">
        <v>21</v>
      </c>
      <c r="B33" s="4"/>
      <c r="C33" s="4" t="s">
        <v>112</v>
      </c>
      <c r="D33" s="4" t="s">
        <v>215</v>
      </c>
      <c r="E33" s="4" t="s">
        <v>306</v>
      </c>
      <c r="F33" s="17">
        <v>199</v>
      </c>
      <c r="G33" s="17">
        <v>0</v>
      </c>
      <c r="H33" s="17">
        <f>F33*AD33</f>
        <v>0</v>
      </c>
      <c r="I33" s="17">
        <f>J33-H33</f>
        <v>0</v>
      </c>
      <c r="J33" s="17">
        <f>F33*G33</f>
        <v>0</v>
      </c>
      <c r="K33" s="17">
        <v>0</v>
      </c>
      <c r="L33" s="17">
        <f>F33*K33</f>
        <v>0</v>
      </c>
      <c r="M33" s="27" t="s">
        <v>7</v>
      </c>
      <c r="N33" s="17">
        <f>IF(M33="5",I33,0)</f>
        <v>0</v>
      </c>
      <c r="Y33" s="17">
        <f>IF(AC33=0,J33,0)</f>
        <v>0</v>
      </c>
      <c r="Z33" s="17">
        <f>IF(AC33=15,J33,0)</f>
        <v>0</v>
      </c>
      <c r="AA33" s="17">
        <f>IF(AC33=21,J33,0)</f>
        <v>0</v>
      </c>
      <c r="AC33" s="31">
        <v>21</v>
      </c>
      <c r="AD33" s="31">
        <f>G33*0</f>
        <v>0</v>
      </c>
      <c r="AE33" s="31">
        <f>G33*(1-0)</f>
        <v>0</v>
      </c>
      <c r="AL33" s="31">
        <f>F33*AD33</f>
        <v>0</v>
      </c>
      <c r="AM33" s="31">
        <f>F33*AE33</f>
        <v>0</v>
      </c>
      <c r="AN33" s="32" t="s">
        <v>344</v>
      </c>
      <c r="AO33" s="32" t="s">
        <v>357</v>
      </c>
      <c r="AP33" s="26" t="s">
        <v>363</v>
      </c>
    </row>
    <row r="34" spans="1:42">
      <c r="A34" s="4" t="s">
        <v>22</v>
      </c>
      <c r="B34" s="4"/>
      <c r="C34" s="4" t="s">
        <v>113</v>
      </c>
      <c r="D34" s="4" t="s">
        <v>216</v>
      </c>
      <c r="E34" s="4" t="s">
        <v>306</v>
      </c>
      <c r="F34" s="17">
        <v>898</v>
      </c>
      <c r="G34" s="17">
        <v>0</v>
      </c>
      <c r="H34" s="17">
        <f>F34*AD34</f>
        <v>0</v>
      </c>
      <c r="I34" s="17">
        <f>J34-H34</f>
        <v>0</v>
      </c>
      <c r="J34" s="17">
        <f>F34*G34</f>
        <v>0</v>
      </c>
      <c r="K34" s="17">
        <v>0</v>
      </c>
      <c r="L34" s="17">
        <f>F34*K34</f>
        <v>0</v>
      </c>
      <c r="M34" s="27" t="s">
        <v>7</v>
      </c>
      <c r="N34" s="17">
        <f>IF(M34="5",I34,0)</f>
        <v>0</v>
      </c>
      <c r="Y34" s="17">
        <f>IF(AC34=0,J34,0)</f>
        <v>0</v>
      </c>
      <c r="Z34" s="17">
        <f>IF(AC34=15,J34,0)</f>
        <v>0</v>
      </c>
      <c r="AA34" s="17">
        <f>IF(AC34=21,J34,0)</f>
        <v>0</v>
      </c>
      <c r="AC34" s="31">
        <v>21</v>
      </c>
      <c r="AD34" s="31">
        <f>G34*0</f>
        <v>0</v>
      </c>
      <c r="AE34" s="31">
        <f>G34*(1-0)</f>
        <v>0</v>
      </c>
      <c r="AL34" s="31">
        <f>F34*AD34</f>
        <v>0</v>
      </c>
      <c r="AM34" s="31">
        <f>F34*AE34</f>
        <v>0</v>
      </c>
      <c r="AN34" s="32" t="s">
        <v>344</v>
      </c>
      <c r="AO34" s="32" t="s">
        <v>357</v>
      </c>
      <c r="AP34" s="26" t="s">
        <v>363</v>
      </c>
    </row>
    <row r="35" spans="1:42">
      <c r="A35" s="4" t="s">
        <v>23</v>
      </c>
      <c r="B35" s="4"/>
      <c r="C35" s="4" t="s">
        <v>114</v>
      </c>
      <c r="D35" s="4" t="s">
        <v>217</v>
      </c>
      <c r="E35" s="4" t="s">
        <v>306</v>
      </c>
      <c r="F35" s="17">
        <v>22</v>
      </c>
      <c r="G35" s="17">
        <v>0</v>
      </c>
      <c r="H35" s="17">
        <f>F35*AD35</f>
        <v>0</v>
      </c>
      <c r="I35" s="17">
        <f>J35-H35</f>
        <v>0</v>
      </c>
      <c r="J35" s="17">
        <f>F35*G35</f>
        <v>0</v>
      </c>
      <c r="K35" s="17">
        <v>0</v>
      </c>
      <c r="L35" s="17">
        <f>F35*K35</f>
        <v>0</v>
      </c>
      <c r="M35" s="27" t="s">
        <v>7</v>
      </c>
      <c r="N35" s="17">
        <f>IF(M35="5",I35,0)</f>
        <v>0</v>
      </c>
      <c r="Y35" s="17">
        <f>IF(AC35=0,J35,0)</f>
        <v>0</v>
      </c>
      <c r="Z35" s="17">
        <f>IF(AC35=15,J35,0)</f>
        <v>0</v>
      </c>
      <c r="AA35" s="17">
        <f>IF(AC35=21,J35,0)</f>
        <v>0</v>
      </c>
      <c r="AC35" s="31">
        <v>21</v>
      </c>
      <c r="AD35" s="31">
        <f>G35*0</f>
        <v>0</v>
      </c>
      <c r="AE35" s="31">
        <f>G35*(1-0)</f>
        <v>0</v>
      </c>
      <c r="AL35" s="31">
        <f>F35*AD35</f>
        <v>0</v>
      </c>
      <c r="AM35" s="31">
        <f>F35*AE35</f>
        <v>0</v>
      </c>
      <c r="AN35" s="32" t="s">
        <v>344</v>
      </c>
      <c r="AO35" s="32" t="s">
        <v>357</v>
      </c>
      <c r="AP35" s="26" t="s">
        <v>363</v>
      </c>
    </row>
    <row r="36" spans="1:42">
      <c r="A36" s="4" t="s">
        <v>24</v>
      </c>
      <c r="B36" s="4"/>
      <c r="C36" s="4" t="s">
        <v>115</v>
      </c>
      <c r="D36" s="4" t="s">
        <v>218</v>
      </c>
      <c r="E36" s="4" t="s">
        <v>306</v>
      </c>
      <c r="F36" s="17">
        <v>147</v>
      </c>
      <c r="G36" s="17">
        <v>0</v>
      </c>
      <c r="H36" s="17">
        <f>F36*AD36</f>
        <v>0</v>
      </c>
      <c r="I36" s="17">
        <f>J36-H36</f>
        <v>0</v>
      </c>
      <c r="J36" s="17">
        <f>F36*G36</f>
        <v>0</v>
      </c>
      <c r="K36" s="17">
        <v>1.7</v>
      </c>
      <c r="L36" s="17">
        <f>F36*K36</f>
        <v>249.9</v>
      </c>
      <c r="M36" s="27" t="s">
        <v>7</v>
      </c>
      <c r="N36" s="17">
        <f>IF(M36="5",I36,0)</f>
        <v>0</v>
      </c>
      <c r="Y36" s="17">
        <f>IF(AC36=0,J36,0)</f>
        <v>0</v>
      </c>
      <c r="Z36" s="17">
        <f>IF(AC36=15,J36,0)</f>
        <v>0</v>
      </c>
      <c r="AA36" s="17">
        <f>IF(AC36=21,J36,0)</f>
        <v>0</v>
      </c>
      <c r="AC36" s="31">
        <v>21</v>
      </c>
      <c r="AD36" s="31">
        <f>G36*0.585577045352077</f>
        <v>0</v>
      </c>
      <c r="AE36" s="31">
        <f>G36*(1-0.585577045352077)</f>
        <v>0</v>
      </c>
      <c r="AL36" s="31">
        <f>F36*AD36</f>
        <v>0</v>
      </c>
      <c r="AM36" s="31">
        <f>F36*AE36</f>
        <v>0</v>
      </c>
      <c r="AN36" s="32" t="s">
        <v>344</v>
      </c>
      <c r="AO36" s="32" t="s">
        <v>357</v>
      </c>
      <c r="AP36" s="26" t="s">
        <v>363</v>
      </c>
    </row>
    <row r="37" spans="1:42">
      <c r="A37" s="5"/>
      <c r="B37" s="13"/>
      <c r="C37" s="13" t="s">
        <v>24</v>
      </c>
      <c r="D37" s="63" t="s">
        <v>219</v>
      </c>
      <c r="E37" s="64"/>
      <c r="F37" s="64"/>
      <c r="G37" s="64"/>
      <c r="H37" s="34">
        <f>SUM(H38:H38)</f>
        <v>0</v>
      </c>
      <c r="I37" s="34">
        <f>SUM(I38:I38)</f>
        <v>0</v>
      </c>
      <c r="J37" s="34">
        <f>H37+I37</f>
        <v>0</v>
      </c>
      <c r="K37" s="26"/>
      <c r="L37" s="34">
        <f>SUM(L38:L38)</f>
        <v>0</v>
      </c>
      <c r="O37" s="34">
        <f>IF(P37="PR",J37,SUM(N38:N38))</f>
        <v>0</v>
      </c>
      <c r="P37" s="26" t="s">
        <v>329</v>
      </c>
      <c r="Q37" s="34">
        <f>IF(P37="HS",H37,0)</f>
        <v>0</v>
      </c>
      <c r="R37" s="34">
        <f>IF(P37="HS",I37-O37,0)</f>
        <v>0</v>
      </c>
      <c r="S37" s="34">
        <f>IF(P37="PS",H37,0)</f>
        <v>0</v>
      </c>
      <c r="T37" s="34">
        <f>IF(P37="PS",I37-O37,0)</f>
        <v>0</v>
      </c>
      <c r="U37" s="34">
        <f>IF(P37="MP",H37,0)</f>
        <v>0</v>
      </c>
      <c r="V37" s="34">
        <f>IF(P37="MP",I37-O37,0)</f>
        <v>0</v>
      </c>
      <c r="W37" s="34">
        <f>IF(P37="OM",H37,0)</f>
        <v>0</v>
      </c>
      <c r="X37" s="26"/>
      <c r="AH37" s="34">
        <f>SUM(Y38:Y38)</f>
        <v>0</v>
      </c>
      <c r="AI37" s="34">
        <f>SUM(Z38:Z38)</f>
        <v>0</v>
      </c>
      <c r="AJ37" s="34">
        <f>SUM(AA38:AA38)</f>
        <v>0</v>
      </c>
    </row>
    <row r="38" spans="1:42">
      <c r="A38" s="4" t="s">
        <v>25</v>
      </c>
      <c r="B38" s="4"/>
      <c r="C38" s="4" t="s">
        <v>116</v>
      </c>
      <c r="D38" s="4" t="s">
        <v>220</v>
      </c>
      <c r="E38" s="4" t="s">
        <v>307</v>
      </c>
      <c r="F38" s="17">
        <v>1140</v>
      </c>
      <c r="G38" s="17">
        <v>0</v>
      </c>
      <c r="H38" s="17">
        <f>F38*AD38</f>
        <v>0</v>
      </c>
      <c r="I38" s="17">
        <f>J38-H38</f>
        <v>0</v>
      </c>
      <c r="J38" s="17">
        <f>F38*G38</f>
        <v>0</v>
      </c>
      <c r="K38" s="17">
        <v>0</v>
      </c>
      <c r="L38" s="17">
        <f>F38*K38</f>
        <v>0</v>
      </c>
      <c r="M38" s="27" t="s">
        <v>7</v>
      </c>
      <c r="N38" s="17">
        <f>IF(M38="5",I38,0)</f>
        <v>0</v>
      </c>
      <c r="Y38" s="17">
        <f>IF(AC38=0,J38,0)</f>
        <v>0</v>
      </c>
      <c r="Z38" s="17">
        <f>IF(AC38=15,J38,0)</f>
        <v>0</v>
      </c>
      <c r="AA38" s="17">
        <f>IF(AC38=21,J38,0)</f>
        <v>0</v>
      </c>
      <c r="AC38" s="31">
        <v>21</v>
      </c>
      <c r="AD38" s="31">
        <f>G38*0</f>
        <v>0</v>
      </c>
      <c r="AE38" s="31">
        <f>G38*(1-0)</f>
        <v>0</v>
      </c>
      <c r="AL38" s="31">
        <f>F38*AD38</f>
        <v>0</v>
      </c>
      <c r="AM38" s="31">
        <f>F38*AE38</f>
        <v>0</v>
      </c>
      <c r="AN38" s="32" t="s">
        <v>345</v>
      </c>
      <c r="AO38" s="32" t="s">
        <v>357</v>
      </c>
      <c r="AP38" s="26" t="s">
        <v>363</v>
      </c>
    </row>
    <row r="39" spans="1:42">
      <c r="A39" s="5"/>
      <c r="B39" s="13"/>
      <c r="C39" s="13" t="s">
        <v>51</v>
      </c>
      <c r="D39" s="63" t="s">
        <v>221</v>
      </c>
      <c r="E39" s="64"/>
      <c r="F39" s="64"/>
      <c r="G39" s="64"/>
      <c r="H39" s="34">
        <f>SUM(H40:H41)</f>
        <v>0</v>
      </c>
      <c r="I39" s="34">
        <f>SUM(I40:I41)</f>
        <v>0</v>
      </c>
      <c r="J39" s="34">
        <f>H39+I39</f>
        <v>0</v>
      </c>
      <c r="K39" s="26"/>
      <c r="L39" s="34">
        <f>SUM(L40:L41)</f>
        <v>58.883220000000009</v>
      </c>
      <c r="O39" s="34">
        <f>IF(P39="PR",J39,SUM(N40:N41))</f>
        <v>0</v>
      </c>
      <c r="P39" s="26" t="s">
        <v>329</v>
      </c>
      <c r="Q39" s="34">
        <f>IF(P39="HS",H39,0)</f>
        <v>0</v>
      </c>
      <c r="R39" s="34">
        <f>IF(P39="HS",I39-O39,0)</f>
        <v>0</v>
      </c>
      <c r="S39" s="34">
        <f>IF(P39="PS",H39,0)</f>
        <v>0</v>
      </c>
      <c r="T39" s="34">
        <f>IF(P39="PS",I39-O39,0)</f>
        <v>0</v>
      </c>
      <c r="U39" s="34">
        <f>IF(P39="MP",H39,0)</f>
        <v>0</v>
      </c>
      <c r="V39" s="34">
        <f>IF(P39="MP",I39-O39,0)</f>
        <v>0</v>
      </c>
      <c r="W39" s="34">
        <f>IF(P39="OM",H39,0)</f>
        <v>0</v>
      </c>
      <c r="X39" s="26"/>
      <c r="AH39" s="34">
        <f>SUM(Y40:Y41)</f>
        <v>0</v>
      </c>
      <c r="AI39" s="34">
        <f>SUM(Z40:Z41)</f>
        <v>0</v>
      </c>
      <c r="AJ39" s="34">
        <f>SUM(AA40:AA41)</f>
        <v>0</v>
      </c>
    </row>
    <row r="40" spans="1:42">
      <c r="A40" s="4" t="s">
        <v>26</v>
      </c>
      <c r="B40" s="4"/>
      <c r="C40" s="4" t="s">
        <v>117</v>
      </c>
      <c r="D40" s="4" t="s">
        <v>222</v>
      </c>
      <c r="E40" s="4" t="s">
        <v>306</v>
      </c>
      <c r="F40" s="17">
        <v>52</v>
      </c>
      <c r="G40" s="17">
        <v>0</v>
      </c>
      <c r="H40" s="17">
        <f>F40*AD40</f>
        <v>0</v>
      </c>
      <c r="I40" s="17">
        <f>J40-H40</f>
        <v>0</v>
      </c>
      <c r="J40" s="17">
        <f>F40*G40</f>
        <v>0</v>
      </c>
      <c r="K40" s="17">
        <v>1.1322000000000001</v>
      </c>
      <c r="L40" s="17">
        <f>F40*K40</f>
        <v>58.874400000000009</v>
      </c>
      <c r="M40" s="27" t="s">
        <v>7</v>
      </c>
      <c r="N40" s="17">
        <f>IF(M40="5",I40,0)</f>
        <v>0</v>
      </c>
      <c r="Y40" s="17">
        <f>IF(AC40=0,J40,0)</f>
        <v>0</v>
      </c>
      <c r="Z40" s="17">
        <f>IF(AC40=15,J40,0)</f>
        <v>0</v>
      </c>
      <c r="AA40" s="17">
        <f>IF(AC40=21,J40,0)</f>
        <v>0</v>
      </c>
      <c r="AC40" s="31">
        <v>21</v>
      </c>
      <c r="AD40" s="31">
        <f>G40*0.471646423751687</f>
        <v>0</v>
      </c>
      <c r="AE40" s="31">
        <f>G40*(1-0.471646423751687)</f>
        <v>0</v>
      </c>
      <c r="AL40" s="31">
        <f>F40*AD40</f>
        <v>0</v>
      </c>
      <c r="AM40" s="31">
        <f>F40*AE40</f>
        <v>0</v>
      </c>
      <c r="AN40" s="32" t="s">
        <v>346</v>
      </c>
      <c r="AO40" s="32" t="s">
        <v>358</v>
      </c>
      <c r="AP40" s="26" t="s">
        <v>363</v>
      </c>
    </row>
    <row r="41" spans="1:42">
      <c r="A41" s="4" t="s">
        <v>27</v>
      </c>
      <c r="B41" s="4"/>
      <c r="C41" s="4" t="s">
        <v>118</v>
      </c>
      <c r="D41" s="4" t="s">
        <v>223</v>
      </c>
      <c r="E41" s="4" t="s">
        <v>307</v>
      </c>
      <c r="F41" s="17">
        <v>2</v>
      </c>
      <c r="G41" s="17">
        <v>0</v>
      </c>
      <c r="H41" s="17">
        <f>F41*AD41</f>
        <v>0</v>
      </c>
      <c r="I41" s="17">
        <f>J41-H41</f>
        <v>0</v>
      </c>
      <c r="J41" s="17">
        <f>F41*G41</f>
        <v>0</v>
      </c>
      <c r="K41" s="17">
        <v>4.4099999999999999E-3</v>
      </c>
      <c r="L41" s="17">
        <f>F41*K41</f>
        <v>8.8199999999999997E-3</v>
      </c>
      <c r="M41" s="27" t="s">
        <v>7</v>
      </c>
      <c r="N41" s="17">
        <f>IF(M41="5",I41,0)</f>
        <v>0</v>
      </c>
      <c r="Y41" s="17">
        <f>IF(AC41=0,J41,0)</f>
        <v>0</v>
      </c>
      <c r="Z41" s="17">
        <f>IF(AC41=15,J41,0)</f>
        <v>0</v>
      </c>
      <c r="AA41" s="17">
        <f>IF(AC41=21,J41,0)</f>
        <v>0</v>
      </c>
      <c r="AC41" s="31">
        <v>21</v>
      </c>
      <c r="AD41" s="31">
        <f>G41*0.217643604711409</f>
        <v>0</v>
      </c>
      <c r="AE41" s="31">
        <f>G41*(1-0.217643604711409)</f>
        <v>0</v>
      </c>
      <c r="AL41" s="31">
        <f>F41*AD41</f>
        <v>0</v>
      </c>
      <c r="AM41" s="31">
        <f>F41*AE41</f>
        <v>0</v>
      </c>
      <c r="AN41" s="32" t="s">
        <v>346</v>
      </c>
      <c r="AO41" s="32" t="s">
        <v>358</v>
      </c>
      <c r="AP41" s="26" t="s">
        <v>363</v>
      </c>
    </row>
    <row r="42" spans="1:42">
      <c r="A42" s="5"/>
      <c r="B42" s="13"/>
      <c r="C42" s="13" t="s">
        <v>62</v>
      </c>
      <c r="D42" s="63" t="s">
        <v>224</v>
      </c>
      <c r="E42" s="64"/>
      <c r="F42" s="64"/>
      <c r="G42" s="64"/>
      <c r="H42" s="34">
        <f>SUM(H43:H44)</f>
        <v>0</v>
      </c>
      <c r="I42" s="34">
        <f>SUM(I43:I44)</f>
        <v>0</v>
      </c>
      <c r="J42" s="34">
        <f>H42+I42</f>
        <v>0</v>
      </c>
      <c r="K42" s="26"/>
      <c r="L42" s="34">
        <f>SUM(L43:L44)</f>
        <v>16.08888</v>
      </c>
      <c r="O42" s="34">
        <f>IF(P42="PR",J42,SUM(N43:N44))</f>
        <v>0</v>
      </c>
      <c r="P42" s="26" t="s">
        <v>329</v>
      </c>
      <c r="Q42" s="34">
        <f>IF(P42="HS",H42,0)</f>
        <v>0</v>
      </c>
      <c r="R42" s="34">
        <f>IF(P42="HS",I42-O42,0)</f>
        <v>0</v>
      </c>
      <c r="S42" s="34">
        <f>IF(P42="PS",H42,0)</f>
        <v>0</v>
      </c>
      <c r="T42" s="34">
        <f>IF(P42="PS",I42-O42,0)</f>
        <v>0</v>
      </c>
      <c r="U42" s="34">
        <f>IF(P42="MP",H42,0)</f>
        <v>0</v>
      </c>
      <c r="V42" s="34">
        <f>IF(P42="MP",I42-O42,0)</f>
        <v>0</v>
      </c>
      <c r="W42" s="34">
        <f>IF(P42="OM",H42,0)</f>
        <v>0</v>
      </c>
      <c r="X42" s="26"/>
      <c r="AH42" s="34">
        <f>SUM(Y43:Y44)</f>
        <v>0</v>
      </c>
      <c r="AI42" s="34">
        <f>SUM(Z43:Z44)</f>
        <v>0</v>
      </c>
      <c r="AJ42" s="34">
        <f>SUM(AA43:AA44)</f>
        <v>0</v>
      </c>
    </row>
    <row r="43" spans="1:42">
      <c r="A43" s="4" t="s">
        <v>28</v>
      </c>
      <c r="B43" s="4"/>
      <c r="C43" s="4" t="s">
        <v>119</v>
      </c>
      <c r="D43" s="4" t="s">
        <v>225</v>
      </c>
      <c r="E43" s="4" t="s">
        <v>307</v>
      </c>
      <c r="F43" s="17">
        <v>24</v>
      </c>
      <c r="G43" s="17">
        <v>0</v>
      </c>
      <c r="H43" s="17">
        <f>F43*AD43</f>
        <v>0</v>
      </c>
      <c r="I43" s="17">
        <f>J43-H43</f>
        <v>0</v>
      </c>
      <c r="J43" s="17">
        <f>F43*G43</f>
        <v>0</v>
      </c>
      <c r="K43" s="17">
        <v>0.48574000000000001</v>
      </c>
      <c r="L43" s="17">
        <f>F43*K43</f>
        <v>11.65776</v>
      </c>
      <c r="M43" s="27" t="s">
        <v>7</v>
      </c>
      <c r="N43" s="17">
        <f>IF(M43="5",I43,0)</f>
        <v>0</v>
      </c>
      <c r="Y43" s="17">
        <f>IF(AC43=0,J43,0)</f>
        <v>0</v>
      </c>
      <c r="Z43" s="17">
        <f>IF(AC43=15,J43,0)</f>
        <v>0</v>
      </c>
      <c r="AA43" s="17">
        <f>IF(AC43=21,J43,0)</f>
        <v>0</v>
      </c>
      <c r="AC43" s="31">
        <v>21</v>
      </c>
      <c r="AD43" s="31">
        <f>G43*0.812008547008547</f>
        <v>0</v>
      </c>
      <c r="AE43" s="31">
        <f>G43*(1-0.812008547008547)</f>
        <v>0</v>
      </c>
      <c r="AL43" s="31">
        <f>F43*AD43</f>
        <v>0</v>
      </c>
      <c r="AM43" s="31">
        <f>F43*AE43</f>
        <v>0</v>
      </c>
      <c r="AN43" s="32" t="s">
        <v>347</v>
      </c>
      <c r="AO43" s="32" t="s">
        <v>359</v>
      </c>
      <c r="AP43" s="26" t="s">
        <v>363</v>
      </c>
    </row>
    <row r="44" spans="1:42">
      <c r="A44" s="4" t="s">
        <v>29</v>
      </c>
      <c r="B44" s="4"/>
      <c r="C44" s="4" t="s">
        <v>120</v>
      </c>
      <c r="D44" s="4" t="s">
        <v>226</v>
      </c>
      <c r="E44" s="4" t="s">
        <v>307</v>
      </c>
      <c r="F44" s="17">
        <v>24</v>
      </c>
      <c r="G44" s="17">
        <v>0</v>
      </c>
      <c r="H44" s="17">
        <f>F44*AD44</f>
        <v>0</v>
      </c>
      <c r="I44" s="17">
        <f>J44-H44</f>
        <v>0</v>
      </c>
      <c r="J44" s="17">
        <f>F44*G44</f>
        <v>0</v>
      </c>
      <c r="K44" s="17">
        <v>0.18462999999999999</v>
      </c>
      <c r="L44" s="17">
        <f>F44*K44</f>
        <v>4.4311199999999999</v>
      </c>
      <c r="M44" s="27" t="s">
        <v>7</v>
      </c>
      <c r="N44" s="17">
        <f>IF(M44="5",I44,0)</f>
        <v>0</v>
      </c>
      <c r="Y44" s="17">
        <f>IF(AC44=0,J44,0)</f>
        <v>0</v>
      </c>
      <c r="Z44" s="17">
        <f>IF(AC44=15,J44,0)</f>
        <v>0</v>
      </c>
      <c r="AA44" s="17">
        <f>IF(AC44=21,J44,0)</f>
        <v>0</v>
      </c>
      <c r="AC44" s="31">
        <v>21</v>
      </c>
      <c r="AD44" s="31">
        <f>G44*0.56831715210356</f>
        <v>0</v>
      </c>
      <c r="AE44" s="31">
        <f>G44*(1-0.56831715210356)</f>
        <v>0</v>
      </c>
      <c r="AL44" s="31">
        <f>F44*AD44</f>
        <v>0</v>
      </c>
      <c r="AM44" s="31">
        <f>F44*AE44</f>
        <v>0</v>
      </c>
      <c r="AN44" s="32" t="s">
        <v>347</v>
      </c>
      <c r="AO44" s="32" t="s">
        <v>359</v>
      </c>
      <c r="AP44" s="26" t="s">
        <v>363</v>
      </c>
    </row>
    <row r="45" spans="1:42">
      <c r="A45" s="5"/>
      <c r="B45" s="13"/>
      <c r="C45" s="13" t="s">
        <v>63</v>
      </c>
      <c r="D45" s="63" t="s">
        <v>227</v>
      </c>
      <c r="E45" s="64"/>
      <c r="F45" s="64"/>
      <c r="G45" s="64"/>
      <c r="H45" s="34">
        <f>SUM(H46:H48)</f>
        <v>0</v>
      </c>
      <c r="I45" s="34">
        <f>SUM(I46:I48)</f>
        <v>0</v>
      </c>
      <c r="J45" s="34">
        <f>H45+I45</f>
        <v>0</v>
      </c>
      <c r="K45" s="26"/>
      <c r="L45" s="34">
        <f>SUM(L46:L48)</f>
        <v>5.6697600000000001</v>
      </c>
      <c r="O45" s="34">
        <f>IF(P45="PR",J45,SUM(N46:N48))</f>
        <v>0</v>
      </c>
      <c r="P45" s="26" t="s">
        <v>329</v>
      </c>
      <c r="Q45" s="34">
        <f>IF(P45="HS",H45,0)</f>
        <v>0</v>
      </c>
      <c r="R45" s="34">
        <f>IF(P45="HS",I45-O45,0)</f>
        <v>0</v>
      </c>
      <c r="S45" s="34">
        <f>IF(P45="PS",H45,0)</f>
        <v>0</v>
      </c>
      <c r="T45" s="34">
        <f>IF(P45="PS",I45-O45,0)</f>
        <v>0</v>
      </c>
      <c r="U45" s="34">
        <f>IF(P45="MP",H45,0)</f>
        <v>0</v>
      </c>
      <c r="V45" s="34">
        <f>IF(P45="MP",I45-O45,0)</f>
        <v>0</v>
      </c>
      <c r="W45" s="34">
        <f>IF(P45="OM",H45,0)</f>
        <v>0</v>
      </c>
      <c r="X45" s="26"/>
      <c r="AH45" s="34">
        <f>SUM(Y46:Y48)</f>
        <v>0</v>
      </c>
      <c r="AI45" s="34">
        <f>SUM(Z46:Z48)</f>
        <v>0</v>
      </c>
      <c r="AJ45" s="34">
        <f>SUM(AA46:AA48)</f>
        <v>0</v>
      </c>
    </row>
    <row r="46" spans="1:42">
      <c r="A46" s="4" t="s">
        <v>30</v>
      </c>
      <c r="B46" s="4"/>
      <c r="C46" s="4" t="s">
        <v>121</v>
      </c>
      <c r="D46" s="4" t="s">
        <v>228</v>
      </c>
      <c r="E46" s="4" t="s">
        <v>307</v>
      </c>
      <c r="F46" s="17">
        <v>24</v>
      </c>
      <c r="G46" s="17">
        <v>0</v>
      </c>
      <c r="H46" s="17">
        <f>F46*AD46</f>
        <v>0</v>
      </c>
      <c r="I46" s="17">
        <f>J46-H46</f>
        <v>0</v>
      </c>
      <c r="J46" s="17">
        <f>F46*G46</f>
        <v>0</v>
      </c>
      <c r="K46" s="17">
        <v>1.0619999999999999E-2</v>
      </c>
      <c r="L46" s="17">
        <f>F46*K46</f>
        <v>0.25488</v>
      </c>
      <c r="M46" s="27" t="s">
        <v>7</v>
      </c>
      <c r="N46" s="17">
        <f>IF(M46="5",I46,0)</f>
        <v>0</v>
      </c>
      <c r="Y46" s="17">
        <f>IF(AC46=0,J46,0)</f>
        <v>0</v>
      </c>
      <c r="Z46" s="17">
        <f>IF(AC46=15,J46,0)</f>
        <v>0</v>
      </c>
      <c r="AA46" s="17">
        <f>IF(AC46=21,J46,0)</f>
        <v>0</v>
      </c>
      <c r="AC46" s="31">
        <v>21</v>
      </c>
      <c r="AD46" s="31">
        <f>G46*0.561761546723953</f>
        <v>0</v>
      </c>
      <c r="AE46" s="31">
        <f>G46*(1-0.561761546723953)</f>
        <v>0</v>
      </c>
      <c r="AL46" s="31">
        <f>F46*AD46</f>
        <v>0</v>
      </c>
      <c r="AM46" s="31">
        <f>F46*AE46</f>
        <v>0</v>
      </c>
      <c r="AN46" s="32" t="s">
        <v>348</v>
      </c>
      <c r="AO46" s="32" t="s">
        <v>359</v>
      </c>
      <c r="AP46" s="26" t="s">
        <v>363</v>
      </c>
    </row>
    <row r="47" spans="1:42">
      <c r="A47" s="4" t="s">
        <v>31</v>
      </c>
      <c r="B47" s="4"/>
      <c r="C47" s="4" t="s">
        <v>122</v>
      </c>
      <c r="D47" s="4" t="s">
        <v>229</v>
      </c>
      <c r="E47" s="4" t="s">
        <v>307</v>
      </c>
      <c r="F47" s="17">
        <v>24</v>
      </c>
      <c r="G47" s="17">
        <v>0</v>
      </c>
      <c r="H47" s="17">
        <f>F47*AD47</f>
        <v>0</v>
      </c>
      <c r="I47" s="17">
        <f>J47-H47</f>
        <v>0</v>
      </c>
      <c r="J47" s="17">
        <f>F47*G47</f>
        <v>0</v>
      </c>
      <c r="K47" s="17">
        <v>6.0999999999999997E-4</v>
      </c>
      <c r="L47" s="17">
        <f>F47*K47</f>
        <v>1.464E-2</v>
      </c>
      <c r="M47" s="27" t="s">
        <v>7</v>
      </c>
      <c r="N47" s="17">
        <f>IF(M47="5",I47,0)</f>
        <v>0</v>
      </c>
      <c r="Y47" s="17">
        <f>IF(AC47=0,J47,0)</f>
        <v>0</v>
      </c>
      <c r="Z47" s="17">
        <f>IF(AC47=15,J47,0)</f>
        <v>0</v>
      </c>
      <c r="AA47" s="17">
        <f>IF(AC47=21,J47,0)</f>
        <v>0</v>
      </c>
      <c r="AC47" s="31">
        <v>21</v>
      </c>
      <c r="AD47" s="31">
        <f>G47*0.936768149882904</f>
        <v>0</v>
      </c>
      <c r="AE47" s="31">
        <f>G47*(1-0.936768149882904)</f>
        <v>0</v>
      </c>
      <c r="AL47" s="31">
        <f>F47*AD47</f>
        <v>0</v>
      </c>
      <c r="AM47" s="31">
        <f>F47*AE47</f>
        <v>0</v>
      </c>
      <c r="AN47" s="32" t="s">
        <v>348</v>
      </c>
      <c r="AO47" s="32" t="s">
        <v>359</v>
      </c>
      <c r="AP47" s="26" t="s">
        <v>363</v>
      </c>
    </row>
    <row r="48" spans="1:42">
      <c r="A48" s="4" t="s">
        <v>32</v>
      </c>
      <c r="B48" s="4"/>
      <c r="C48" s="4" t="s">
        <v>123</v>
      </c>
      <c r="D48" s="4" t="s">
        <v>230</v>
      </c>
      <c r="E48" s="4" t="s">
        <v>307</v>
      </c>
      <c r="F48" s="17">
        <v>24</v>
      </c>
      <c r="G48" s="17">
        <v>0</v>
      </c>
      <c r="H48" s="17">
        <f>F48*AD48</f>
        <v>0</v>
      </c>
      <c r="I48" s="17">
        <f>J48-H48</f>
        <v>0</v>
      </c>
      <c r="J48" s="17">
        <f>F48*G48</f>
        <v>0</v>
      </c>
      <c r="K48" s="17">
        <v>0.22500999999999999</v>
      </c>
      <c r="L48" s="17">
        <f>F48*K48</f>
        <v>5.4002400000000002</v>
      </c>
      <c r="M48" s="27" t="s">
        <v>7</v>
      </c>
      <c r="N48" s="17">
        <f>IF(M48="5",I48,0)</f>
        <v>0</v>
      </c>
      <c r="Y48" s="17">
        <f>IF(AC48=0,J48,0)</f>
        <v>0</v>
      </c>
      <c r="Z48" s="17">
        <f>IF(AC48=15,J48,0)</f>
        <v>0</v>
      </c>
      <c r="AA48" s="17">
        <f>IF(AC48=21,J48,0)</f>
        <v>0</v>
      </c>
      <c r="AC48" s="31">
        <v>21</v>
      </c>
      <c r="AD48" s="31">
        <f>G48*0.861231569817867</f>
        <v>0</v>
      </c>
      <c r="AE48" s="31">
        <f>G48*(1-0.861231569817867)</f>
        <v>0</v>
      </c>
      <c r="AL48" s="31">
        <f>F48*AD48</f>
        <v>0</v>
      </c>
      <c r="AM48" s="31">
        <f>F48*AE48</f>
        <v>0</v>
      </c>
      <c r="AN48" s="32" t="s">
        <v>348</v>
      </c>
      <c r="AO48" s="32" t="s">
        <v>359</v>
      </c>
      <c r="AP48" s="26" t="s">
        <v>363</v>
      </c>
    </row>
    <row r="49" spans="1:42">
      <c r="A49" s="5"/>
      <c r="B49" s="13"/>
      <c r="C49" s="13" t="s">
        <v>91</v>
      </c>
      <c r="D49" s="63" t="s">
        <v>231</v>
      </c>
      <c r="E49" s="64"/>
      <c r="F49" s="64"/>
      <c r="G49" s="64"/>
      <c r="H49" s="34">
        <f>SUM(H50:H52)</f>
        <v>0</v>
      </c>
      <c r="I49" s="34">
        <f>SUM(I50:I52)</f>
        <v>0</v>
      </c>
      <c r="J49" s="34">
        <f>H49+I49</f>
        <v>0</v>
      </c>
      <c r="K49" s="26"/>
      <c r="L49" s="34">
        <f>SUM(L50:L52)</f>
        <v>6.3000000000000003E-4</v>
      </c>
      <c r="O49" s="34">
        <f>IF(P49="PR",J49,SUM(N50:N52))</f>
        <v>0</v>
      </c>
      <c r="P49" s="26" t="s">
        <v>329</v>
      </c>
      <c r="Q49" s="34">
        <f>IF(P49="HS",H49,0)</f>
        <v>0</v>
      </c>
      <c r="R49" s="34">
        <f>IF(P49="HS",I49-O49,0)</f>
        <v>0</v>
      </c>
      <c r="S49" s="34">
        <f>IF(P49="PS",H49,0)</f>
        <v>0</v>
      </c>
      <c r="T49" s="34">
        <f>IF(P49="PS",I49-O49,0)</f>
        <v>0</v>
      </c>
      <c r="U49" s="34">
        <f>IF(P49="MP",H49,0)</f>
        <v>0</v>
      </c>
      <c r="V49" s="34">
        <f>IF(P49="MP",I49-O49,0)</f>
        <v>0</v>
      </c>
      <c r="W49" s="34">
        <f>IF(P49="OM",H49,0)</f>
        <v>0</v>
      </c>
      <c r="X49" s="26"/>
      <c r="AH49" s="34">
        <f>SUM(Y50:Y52)</f>
        <v>0</v>
      </c>
      <c r="AI49" s="34">
        <f>SUM(Z50:Z52)</f>
        <v>0</v>
      </c>
      <c r="AJ49" s="34">
        <f>SUM(AA50:AA52)</f>
        <v>0</v>
      </c>
    </row>
    <row r="50" spans="1:42">
      <c r="A50" s="4" t="s">
        <v>33</v>
      </c>
      <c r="B50" s="4"/>
      <c r="C50" s="4" t="s">
        <v>124</v>
      </c>
      <c r="D50" s="4" t="s">
        <v>232</v>
      </c>
      <c r="E50" s="4" t="s">
        <v>308</v>
      </c>
      <c r="F50" s="17">
        <v>2</v>
      </c>
      <c r="G50" s="17">
        <v>0</v>
      </c>
      <c r="H50" s="17">
        <f>F50*AD50</f>
        <v>0</v>
      </c>
      <c r="I50" s="17">
        <f>J50-H50</f>
        <v>0</v>
      </c>
      <c r="J50" s="17">
        <f>F50*G50</f>
        <v>0</v>
      </c>
      <c r="K50" s="17">
        <v>0</v>
      </c>
      <c r="L50" s="17">
        <f>F50*K50</f>
        <v>0</v>
      </c>
      <c r="M50" s="27" t="s">
        <v>7</v>
      </c>
      <c r="N50" s="17">
        <f>IF(M50="5",I50,0)</f>
        <v>0</v>
      </c>
      <c r="Y50" s="17">
        <f>IF(AC50=0,J50,0)</f>
        <v>0</v>
      </c>
      <c r="Z50" s="17">
        <f>IF(AC50=15,J50,0)</f>
        <v>0</v>
      </c>
      <c r="AA50" s="17">
        <f>IF(AC50=21,J50,0)</f>
        <v>0</v>
      </c>
      <c r="AC50" s="31">
        <v>21</v>
      </c>
      <c r="AD50" s="31">
        <f>G50*0</f>
        <v>0</v>
      </c>
      <c r="AE50" s="31">
        <f>G50*(1-0)</f>
        <v>0</v>
      </c>
      <c r="AL50" s="31">
        <f>F50*AD50</f>
        <v>0</v>
      </c>
      <c r="AM50" s="31">
        <f>F50*AE50</f>
        <v>0</v>
      </c>
      <c r="AN50" s="32" t="s">
        <v>349</v>
      </c>
      <c r="AO50" s="32" t="s">
        <v>360</v>
      </c>
      <c r="AP50" s="26" t="s">
        <v>363</v>
      </c>
    </row>
    <row r="51" spans="1:42">
      <c r="A51" s="4" t="s">
        <v>34</v>
      </c>
      <c r="B51" s="4"/>
      <c r="C51" s="4" t="s">
        <v>125</v>
      </c>
      <c r="D51" s="4" t="s">
        <v>233</v>
      </c>
      <c r="E51" s="4" t="s">
        <v>308</v>
      </c>
      <c r="F51" s="17">
        <v>4</v>
      </c>
      <c r="G51" s="17">
        <v>0</v>
      </c>
      <c r="H51" s="17">
        <f>F51*AD51</f>
        <v>0</v>
      </c>
      <c r="I51" s="17">
        <f>J51-H51</f>
        <v>0</v>
      </c>
      <c r="J51" s="17">
        <f>F51*G51</f>
        <v>0</v>
      </c>
      <c r="K51" s="17">
        <v>0</v>
      </c>
      <c r="L51" s="17">
        <f>F51*K51</f>
        <v>0</v>
      </c>
      <c r="M51" s="27" t="s">
        <v>7</v>
      </c>
      <c r="N51" s="17">
        <f>IF(M51="5",I51,0)</f>
        <v>0</v>
      </c>
      <c r="Y51" s="17">
        <f>IF(AC51=0,J51,0)</f>
        <v>0</v>
      </c>
      <c r="Z51" s="17">
        <f>IF(AC51=15,J51,0)</f>
        <v>0</v>
      </c>
      <c r="AA51" s="17">
        <f>IF(AC51=21,J51,0)</f>
        <v>0</v>
      </c>
      <c r="AC51" s="31">
        <v>21</v>
      </c>
      <c r="AD51" s="31">
        <f>G51*0.0000282893434043396</f>
        <v>0</v>
      </c>
      <c r="AE51" s="31">
        <f>G51*(1-0.0000282893434043396)</f>
        <v>0</v>
      </c>
      <c r="AL51" s="31">
        <f>F51*AD51</f>
        <v>0</v>
      </c>
      <c r="AM51" s="31">
        <f>F51*AE51</f>
        <v>0</v>
      </c>
      <c r="AN51" s="32" t="s">
        <v>349</v>
      </c>
      <c r="AO51" s="32" t="s">
        <v>360</v>
      </c>
      <c r="AP51" s="26" t="s">
        <v>363</v>
      </c>
    </row>
    <row r="52" spans="1:42">
      <c r="A52" s="4" t="s">
        <v>35</v>
      </c>
      <c r="B52" s="4"/>
      <c r="C52" s="4" t="s">
        <v>126</v>
      </c>
      <c r="D52" s="4" t="s">
        <v>234</v>
      </c>
      <c r="E52" s="4" t="s">
        <v>308</v>
      </c>
      <c r="F52" s="17">
        <v>3</v>
      </c>
      <c r="G52" s="17">
        <v>0</v>
      </c>
      <c r="H52" s="17">
        <f>F52*AD52</f>
        <v>0</v>
      </c>
      <c r="I52" s="17">
        <f>J52-H52</f>
        <v>0</v>
      </c>
      <c r="J52" s="17">
        <f>F52*G52</f>
        <v>0</v>
      </c>
      <c r="K52" s="17">
        <v>2.1000000000000001E-4</v>
      </c>
      <c r="L52" s="17">
        <f>F52*K52</f>
        <v>6.3000000000000003E-4</v>
      </c>
      <c r="M52" s="27" t="s">
        <v>7</v>
      </c>
      <c r="N52" s="17">
        <f>IF(M52="5",I52,0)</f>
        <v>0</v>
      </c>
      <c r="Y52" s="17">
        <f>IF(AC52=0,J52,0)</f>
        <v>0</v>
      </c>
      <c r="Z52" s="17">
        <f>IF(AC52=15,J52,0)</f>
        <v>0</v>
      </c>
      <c r="AA52" s="17">
        <f>IF(AC52=21,J52,0)</f>
        <v>0</v>
      </c>
      <c r="AC52" s="31">
        <v>21</v>
      </c>
      <c r="AD52" s="31">
        <f>G52*0.134490566037736</f>
        <v>0</v>
      </c>
      <c r="AE52" s="31">
        <f>G52*(1-0.134490566037736)</f>
        <v>0</v>
      </c>
      <c r="AL52" s="31">
        <f>F52*AD52</f>
        <v>0</v>
      </c>
      <c r="AM52" s="31">
        <f>F52*AE52</f>
        <v>0</v>
      </c>
      <c r="AN52" s="32" t="s">
        <v>349</v>
      </c>
      <c r="AO52" s="32" t="s">
        <v>360</v>
      </c>
      <c r="AP52" s="26" t="s">
        <v>363</v>
      </c>
    </row>
    <row r="53" spans="1:42">
      <c r="A53" s="5"/>
      <c r="B53" s="13"/>
      <c r="C53" s="13" t="s">
        <v>93</v>
      </c>
      <c r="D53" s="63" t="s">
        <v>235</v>
      </c>
      <c r="E53" s="64"/>
      <c r="F53" s="64"/>
      <c r="G53" s="64"/>
      <c r="H53" s="34">
        <f>SUM(H54:H56)</f>
        <v>0</v>
      </c>
      <c r="I53" s="34">
        <f>SUM(I54:I56)</f>
        <v>0</v>
      </c>
      <c r="J53" s="34">
        <f>H53+I53</f>
        <v>0</v>
      </c>
      <c r="K53" s="26"/>
      <c r="L53" s="34">
        <f>SUM(L54:L56)</f>
        <v>3.7100000000000001E-2</v>
      </c>
      <c r="O53" s="34">
        <f>IF(P53="PR",J53,SUM(N54:N56))</f>
        <v>0</v>
      </c>
      <c r="P53" s="26" t="s">
        <v>329</v>
      </c>
      <c r="Q53" s="34">
        <f>IF(P53="HS",H53,0)</f>
        <v>0</v>
      </c>
      <c r="R53" s="34">
        <f>IF(P53="HS",I53-O53,0)</f>
        <v>0</v>
      </c>
      <c r="S53" s="34">
        <f>IF(P53="PS",H53,0)</f>
        <v>0</v>
      </c>
      <c r="T53" s="34">
        <f>IF(P53="PS",I53-O53,0)</f>
        <v>0</v>
      </c>
      <c r="U53" s="34">
        <f>IF(P53="MP",H53,0)</f>
        <v>0</v>
      </c>
      <c r="V53" s="34">
        <f>IF(P53="MP",I53-O53,0)</f>
        <v>0</v>
      </c>
      <c r="W53" s="34">
        <f>IF(P53="OM",H53,0)</f>
        <v>0</v>
      </c>
      <c r="X53" s="26"/>
      <c r="AH53" s="34">
        <f>SUM(Y54:Y56)</f>
        <v>0</v>
      </c>
      <c r="AI53" s="34">
        <f>SUM(Z54:Z56)</f>
        <v>0</v>
      </c>
      <c r="AJ53" s="34">
        <f>SUM(AA54:AA56)</f>
        <v>0</v>
      </c>
    </row>
    <row r="54" spans="1:42">
      <c r="A54" s="4" t="s">
        <v>36</v>
      </c>
      <c r="B54" s="4"/>
      <c r="C54" s="4" t="s">
        <v>127</v>
      </c>
      <c r="D54" s="4" t="s">
        <v>236</v>
      </c>
      <c r="E54" s="4" t="s">
        <v>308</v>
      </c>
      <c r="F54" s="17">
        <v>5</v>
      </c>
      <c r="G54" s="17">
        <v>0</v>
      </c>
      <c r="H54" s="17">
        <f>F54*AD54</f>
        <v>0</v>
      </c>
      <c r="I54" s="17">
        <f>J54-H54</f>
        <v>0</v>
      </c>
      <c r="J54" s="17">
        <f>F54*G54</f>
        <v>0</v>
      </c>
      <c r="K54" s="17">
        <v>0</v>
      </c>
      <c r="L54" s="17">
        <f>F54*K54</f>
        <v>0</v>
      </c>
      <c r="M54" s="27" t="s">
        <v>7</v>
      </c>
      <c r="N54" s="17">
        <f>IF(M54="5",I54,0)</f>
        <v>0</v>
      </c>
      <c r="Y54" s="17">
        <f>IF(AC54=0,J54,0)</f>
        <v>0</v>
      </c>
      <c r="Z54" s="17">
        <f>IF(AC54=15,J54,0)</f>
        <v>0</v>
      </c>
      <c r="AA54" s="17">
        <f>IF(AC54=21,J54,0)</f>
        <v>0</v>
      </c>
      <c r="AC54" s="31">
        <v>21</v>
      </c>
      <c r="AD54" s="31">
        <f>G54*0</f>
        <v>0</v>
      </c>
      <c r="AE54" s="31">
        <f>G54*(1-0)</f>
        <v>0</v>
      </c>
      <c r="AL54" s="31">
        <f>F54*AD54</f>
        <v>0</v>
      </c>
      <c r="AM54" s="31">
        <f>F54*AE54</f>
        <v>0</v>
      </c>
      <c r="AN54" s="32" t="s">
        <v>350</v>
      </c>
      <c r="AO54" s="32" t="s">
        <v>360</v>
      </c>
      <c r="AP54" s="26" t="s">
        <v>363</v>
      </c>
    </row>
    <row r="55" spans="1:42">
      <c r="A55" s="4" t="s">
        <v>37</v>
      </c>
      <c r="B55" s="4"/>
      <c r="C55" s="4" t="s">
        <v>128</v>
      </c>
      <c r="D55" s="4" t="s">
        <v>237</v>
      </c>
      <c r="E55" s="4" t="s">
        <v>305</v>
      </c>
      <c r="F55" s="17">
        <v>120</v>
      </c>
      <c r="G55" s="17">
        <v>0</v>
      </c>
      <c r="H55" s="17">
        <f>F55*AD55</f>
        <v>0</v>
      </c>
      <c r="I55" s="17">
        <f>J55-H55</f>
        <v>0</v>
      </c>
      <c r="J55" s="17">
        <f>F55*G55</f>
        <v>0</v>
      </c>
      <c r="K55" s="17">
        <v>0</v>
      </c>
      <c r="L55" s="17">
        <f>F55*K55</f>
        <v>0</v>
      </c>
      <c r="M55" s="27" t="s">
        <v>7</v>
      </c>
      <c r="N55" s="17">
        <f>IF(M55="5",I55,0)</f>
        <v>0</v>
      </c>
      <c r="Y55" s="17">
        <f>IF(AC55=0,J55,0)</f>
        <v>0</v>
      </c>
      <c r="Z55" s="17">
        <f>IF(AC55=15,J55,0)</f>
        <v>0</v>
      </c>
      <c r="AA55" s="17">
        <f>IF(AC55=21,J55,0)</f>
        <v>0</v>
      </c>
      <c r="AC55" s="31">
        <v>21</v>
      </c>
      <c r="AD55" s="31">
        <f>G55*0</f>
        <v>0</v>
      </c>
      <c r="AE55" s="31">
        <f>G55*(1-0)</f>
        <v>0</v>
      </c>
      <c r="AL55" s="31">
        <f>F55*AD55</f>
        <v>0</v>
      </c>
      <c r="AM55" s="31">
        <f>F55*AE55</f>
        <v>0</v>
      </c>
      <c r="AN55" s="32" t="s">
        <v>350</v>
      </c>
      <c r="AO55" s="32" t="s">
        <v>360</v>
      </c>
      <c r="AP55" s="26" t="s">
        <v>363</v>
      </c>
    </row>
    <row r="56" spans="1:42">
      <c r="A56" s="4" t="s">
        <v>38</v>
      </c>
      <c r="B56" s="4"/>
      <c r="C56" s="4" t="s">
        <v>129</v>
      </c>
      <c r="D56" s="4" t="s">
        <v>238</v>
      </c>
      <c r="E56" s="4" t="s">
        <v>305</v>
      </c>
      <c r="F56" s="17">
        <v>3710</v>
      </c>
      <c r="G56" s="17">
        <v>0</v>
      </c>
      <c r="H56" s="17">
        <f>F56*AD56</f>
        <v>0</v>
      </c>
      <c r="I56" s="17">
        <f>J56-H56</f>
        <v>0</v>
      </c>
      <c r="J56" s="17">
        <f>F56*G56</f>
        <v>0</v>
      </c>
      <c r="K56" s="17">
        <v>1.0000000000000001E-5</v>
      </c>
      <c r="L56" s="17">
        <f>F56*K56</f>
        <v>3.7100000000000001E-2</v>
      </c>
      <c r="M56" s="27" t="s">
        <v>7</v>
      </c>
      <c r="N56" s="17">
        <f>IF(M56="5",I56,0)</f>
        <v>0</v>
      </c>
      <c r="Y56" s="17">
        <f>IF(AC56=0,J56,0)</f>
        <v>0</v>
      </c>
      <c r="Z56" s="17">
        <f>IF(AC56=15,J56,0)</f>
        <v>0</v>
      </c>
      <c r="AA56" s="17">
        <f>IF(AC56=21,J56,0)</f>
        <v>0</v>
      </c>
      <c r="AC56" s="31">
        <v>21</v>
      </c>
      <c r="AD56" s="31">
        <f>G56*0.0077857365306758</f>
        <v>0</v>
      </c>
      <c r="AE56" s="31">
        <f>G56*(1-0.0077857365306758)</f>
        <v>0</v>
      </c>
      <c r="AL56" s="31">
        <f>F56*AD56</f>
        <v>0</v>
      </c>
      <c r="AM56" s="31">
        <f>F56*AE56</f>
        <v>0</v>
      </c>
      <c r="AN56" s="32" t="s">
        <v>350</v>
      </c>
      <c r="AO56" s="32" t="s">
        <v>360</v>
      </c>
      <c r="AP56" s="26" t="s">
        <v>363</v>
      </c>
    </row>
    <row r="57" spans="1:42">
      <c r="A57" s="5"/>
      <c r="B57" s="13"/>
      <c r="C57" s="13" t="s">
        <v>130</v>
      </c>
      <c r="D57" s="63" t="s">
        <v>239</v>
      </c>
      <c r="E57" s="64"/>
      <c r="F57" s="64"/>
      <c r="G57" s="64"/>
      <c r="H57" s="34">
        <f>SUM(H58:H75)</f>
        <v>0</v>
      </c>
      <c r="I57" s="34">
        <f>SUM(I58:I75)</f>
        <v>0</v>
      </c>
      <c r="J57" s="34">
        <f>H57+I57</f>
        <v>0</v>
      </c>
      <c r="K57" s="26"/>
      <c r="L57" s="34">
        <f>SUM(L58:L75)</f>
        <v>40.214929999999988</v>
      </c>
      <c r="O57" s="34">
        <f>IF(P57="PR",J57,SUM(N58:N75))</f>
        <v>0</v>
      </c>
      <c r="P57" s="26" t="s">
        <v>329</v>
      </c>
      <c r="Q57" s="34">
        <f>IF(P57="HS",H57,0)</f>
        <v>0</v>
      </c>
      <c r="R57" s="34">
        <f>IF(P57="HS",I57-O57,0)</f>
        <v>0</v>
      </c>
      <c r="S57" s="34">
        <f>IF(P57="PS",H57,0)</f>
        <v>0</v>
      </c>
      <c r="T57" s="34">
        <f>IF(P57="PS",I57-O57,0)</f>
        <v>0</v>
      </c>
      <c r="U57" s="34">
        <f>IF(P57="MP",H57,0)</f>
        <v>0</v>
      </c>
      <c r="V57" s="34">
        <f>IF(P57="MP",I57-O57,0)</f>
        <v>0</v>
      </c>
      <c r="W57" s="34">
        <f>IF(P57="OM",H57,0)</f>
        <v>0</v>
      </c>
      <c r="X57" s="26"/>
      <c r="AH57" s="34">
        <f>SUM(Y58:Y75)</f>
        <v>0</v>
      </c>
      <c r="AI57" s="34">
        <f>SUM(Z58:Z75)</f>
        <v>0</v>
      </c>
      <c r="AJ57" s="34">
        <f>SUM(AA58:AA75)</f>
        <v>0</v>
      </c>
    </row>
    <row r="58" spans="1:42">
      <c r="A58" s="4" t="s">
        <v>39</v>
      </c>
      <c r="B58" s="4"/>
      <c r="C58" s="4" t="s">
        <v>131</v>
      </c>
      <c r="D58" s="4" t="s">
        <v>240</v>
      </c>
      <c r="E58" s="4" t="s">
        <v>305</v>
      </c>
      <c r="F58" s="17">
        <v>371</v>
      </c>
      <c r="G58" s="17">
        <v>0</v>
      </c>
      <c r="H58" s="17">
        <f t="shared" ref="H58:H75" si="12">F58*AD58</f>
        <v>0</v>
      </c>
      <c r="I58" s="17">
        <f t="shared" ref="I58:I75" si="13">J58-H58</f>
        <v>0</v>
      </c>
      <c r="J58" s="17">
        <f t="shared" ref="J58:J75" si="14">F58*G58</f>
        <v>0</v>
      </c>
      <c r="K58" s="17">
        <v>0</v>
      </c>
      <c r="L58" s="17">
        <f t="shared" ref="L58:L75" si="15">F58*K58</f>
        <v>0</v>
      </c>
      <c r="M58" s="27" t="s">
        <v>7</v>
      </c>
      <c r="N58" s="17">
        <f t="shared" ref="N58:N75" si="16">IF(M58="5",I58,0)</f>
        <v>0</v>
      </c>
      <c r="Y58" s="17">
        <f t="shared" ref="Y58:Y75" si="17">IF(AC58=0,J58,0)</f>
        <v>0</v>
      </c>
      <c r="Z58" s="17">
        <f t="shared" ref="Z58:Z75" si="18">IF(AC58=15,J58,0)</f>
        <v>0</v>
      </c>
      <c r="AA58" s="17">
        <f t="shared" ref="AA58:AA75" si="19">IF(AC58=21,J58,0)</f>
        <v>0</v>
      </c>
      <c r="AC58" s="31">
        <v>21</v>
      </c>
      <c r="AD58" s="31">
        <f>G58*0.120149253731343</f>
        <v>0</v>
      </c>
      <c r="AE58" s="31">
        <f>G58*(1-0.120149253731343)</f>
        <v>0</v>
      </c>
      <c r="AL58" s="31">
        <f t="shared" ref="AL58:AL75" si="20">F58*AD58</f>
        <v>0</v>
      </c>
      <c r="AM58" s="31">
        <f t="shared" ref="AM58:AM75" si="21">F58*AE58</f>
        <v>0</v>
      </c>
      <c r="AN58" s="32" t="s">
        <v>351</v>
      </c>
      <c r="AO58" s="32" t="s">
        <v>360</v>
      </c>
      <c r="AP58" s="26" t="s">
        <v>363</v>
      </c>
    </row>
    <row r="59" spans="1:42">
      <c r="A59" s="4" t="s">
        <v>40</v>
      </c>
      <c r="B59" s="4"/>
      <c r="C59" s="4" t="s">
        <v>132</v>
      </c>
      <c r="D59" s="4" t="s">
        <v>241</v>
      </c>
      <c r="E59" s="4" t="s">
        <v>309</v>
      </c>
      <c r="F59" s="17">
        <v>6</v>
      </c>
      <c r="G59" s="17">
        <v>0</v>
      </c>
      <c r="H59" s="17">
        <f t="shared" si="12"/>
        <v>0</v>
      </c>
      <c r="I59" s="17">
        <f t="shared" si="13"/>
        <v>0</v>
      </c>
      <c r="J59" s="17">
        <f t="shared" si="14"/>
        <v>0</v>
      </c>
      <c r="K59" s="17">
        <v>1.7000000000000001E-4</v>
      </c>
      <c r="L59" s="17">
        <f t="shared" si="15"/>
        <v>1.0200000000000001E-3</v>
      </c>
      <c r="M59" s="27" t="s">
        <v>7</v>
      </c>
      <c r="N59" s="17">
        <f t="shared" si="16"/>
        <v>0</v>
      </c>
      <c r="Y59" s="17">
        <f t="shared" si="17"/>
        <v>0</v>
      </c>
      <c r="Z59" s="17">
        <f t="shared" si="18"/>
        <v>0</v>
      </c>
      <c r="AA59" s="17">
        <f t="shared" si="19"/>
        <v>0</v>
      </c>
      <c r="AC59" s="31">
        <v>21</v>
      </c>
      <c r="AD59" s="31">
        <f>G59*0.147396998405629</f>
        <v>0</v>
      </c>
      <c r="AE59" s="31">
        <f>G59*(1-0.147396998405629)</f>
        <v>0</v>
      </c>
      <c r="AL59" s="31">
        <f t="shared" si="20"/>
        <v>0</v>
      </c>
      <c r="AM59" s="31">
        <f t="shared" si="21"/>
        <v>0</v>
      </c>
      <c r="AN59" s="32" t="s">
        <v>351</v>
      </c>
      <c r="AO59" s="32" t="s">
        <v>360</v>
      </c>
      <c r="AP59" s="26" t="s">
        <v>363</v>
      </c>
    </row>
    <row r="60" spans="1:42">
      <c r="A60" s="4" t="s">
        <v>41</v>
      </c>
      <c r="B60" s="4"/>
      <c r="C60" s="4" t="s">
        <v>133</v>
      </c>
      <c r="D60" s="4" t="s">
        <v>242</v>
      </c>
      <c r="E60" s="4" t="s">
        <v>305</v>
      </c>
      <c r="F60" s="17">
        <v>120</v>
      </c>
      <c r="G60" s="17">
        <v>0</v>
      </c>
      <c r="H60" s="17">
        <f t="shared" si="12"/>
        <v>0</v>
      </c>
      <c r="I60" s="17">
        <f t="shared" si="13"/>
        <v>0</v>
      </c>
      <c r="J60" s="17">
        <f t="shared" si="14"/>
        <v>0</v>
      </c>
      <c r="K60" s="17">
        <v>0</v>
      </c>
      <c r="L60" s="17">
        <f t="shared" si="15"/>
        <v>0</v>
      </c>
      <c r="M60" s="27" t="s">
        <v>7</v>
      </c>
      <c r="N60" s="17">
        <f t="shared" si="16"/>
        <v>0</v>
      </c>
      <c r="Y60" s="17">
        <f t="shared" si="17"/>
        <v>0</v>
      </c>
      <c r="Z60" s="17">
        <f t="shared" si="18"/>
        <v>0</v>
      </c>
      <c r="AA60" s="17">
        <f t="shared" si="19"/>
        <v>0</v>
      </c>
      <c r="AC60" s="31">
        <v>21</v>
      </c>
      <c r="AD60" s="31">
        <f>G60*0.0408460977388767</f>
        <v>0</v>
      </c>
      <c r="AE60" s="31">
        <f>G60*(1-0.0408460977388767)</f>
        <v>0</v>
      </c>
      <c r="AL60" s="31">
        <f t="shared" si="20"/>
        <v>0</v>
      </c>
      <c r="AM60" s="31">
        <f t="shared" si="21"/>
        <v>0</v>
      </c>
      <c r="AN60" s="32" t="s">
        <v>351</v>
      </c>
      <c r="AO60" s="32" t="s">
        <v>360</v>
      </c>
      <c r="AP60" s="26" t="s">
        <v>363</v>
      </c>
    </row>
    <row r="61" spans="1:42">
      <c r="A61" s="4" t="s">
        <v>42</v>
      </c>
      <c r="B61" s="4"/>
      <c r="C61" s="4" t="s">
        <v>134</v>
      </c>
      <c r="D61" s="4" t="s">
        <v>243</v>
      </c>
      <c r="E61" s="4" t="s">
        <v>305</v>
      </c>
      <c r="F61" s="17">
        <v>120</v>
      </c>
      <c r="G61" s="17">
        <v>0</v>
      </c>
      <c r="H61" s="17">
        <f t="shared" si="12"/>
        <v>0</v>
      </c>
      <c r="I61" s="17">
        <f t="shared" si="13"/>
        <v>0</v>
      </c>
      <c r="J61" s="17">
        <f t="shared" si="14"/>
        <v>0</v>
      </c>
      <c r="K61" s="17">
        <v>0</v>
      </c>
      <c r="L61" s="17">
        <f t="shared" si="15"/>
        <v>0</v>
      </c>
      <c r="M61" s="27" t="s">
        <v>7</v>
      </c>
      <c r="N61" s="17">
        <f t="shared" si="16"/>
        <v>0</v>
      </c>
      <c r="Y61" s="17">
        <f t="shared" si="17"/>
        <v>0</v>
      </c>
      <c r="Z61" s="17">
        <f t="shared" si="18"/>
        <v>0</v>
      </c>
      <c r="AA61" s="17">
        <f t="shared" si="19"/>
        <v>0</v>
      </c>
      <c r="AC61" s="31">
        <v>21</v>
      </c>
      <c r="AD61" s="31">
        <f>G61*0.0338905775075988</f>
        <v>0</v>
      </c>
      <c r="AE61" s="31">
        <f>G61*(1-0.0338905775075988)</f>
        <v>0</v>
      </c>
      <c r="AL61" s="31">
        <f t="shared" si="20"/>
        <v>0</v>
      </c>
      <c r="AM61" s="31">
        <f t="shared" si="21"/>
        <v>0</v>
      </c>
      <c r="AN61" s="32" t="s">
        <v>351</v>
      </c>
      <c r="AO61" s="32" t="s">
        <v>360</v>
      </c>
      <c r="AP61" s="26" t="s">
        <v>363</v>
      </c>
    </row>
    <row r="62" spans="1:42">
      <c r="A62" s="4" t="s">
        <v>43</v>
      </c>
      <c r="B62" s="4"/>
      <c r="C62" s="4" t="s">
        <v>135</v>
      </c>
      <c r="D62" s="4" t="s">
        <v>244</v>
      </c>
      <c r="E62" s="4" t="s">
        <v>309</v>
      </c>
      <c r="F62" s="17">
        <v>3</v>
      </c>
      <c r="G62" s="17">
        <v>0</v>
      </c>
      <c r="H62" s="17">
        <f t="shared" si="12"/>
        <v>0</v>
      </c>
      <c r="I62" s="17">
        <f t="shared" si="13"/>
        <v>0</v>
      </c>
      <c r="J62" s="17">
        <f t="shared" si="14"/>
        <v>0</v>
      </c>
      <c r="K62" s="17">
        <v>3.5029999999999999E-2</v>
      </c>
      <c r="L62" s="17">
        <f t="shared" si="15"/>
        <v>0.10508999999999999</v>
      </c>
      <c r="M62" s="27" t="s">
        <v>7</v>
      </c>
      <c r="N62" s="17">
        <f t="shared" si="16"/>
        <v>0</v>
      </c>
      <c r="Y62" s="17">
        <f t="shared" si="17"/>
        <v>0</v>
      </c>
      <c r="Z62" s="17">
        <f t="shared" si="18"/>
        <v>0</v>
      </c>
      <c r="AA62" s="17">
        <f t="shared" si="19"/>
        <v>0</v>
      </c>
      <c r="AC62" s="31">
        <v>21</v>
      </c>
      <c r="AD62" s="31">
        <f>G62*0.452223232687413</f>
        <v>0</v>
      </c>
      <c r="AE62" s="31">
        <f>G62*(1-0.452223232687413)</f>
        <v>0</v>
      </c>
      <c r="AL62" s="31">
        <f t="shared" si="20"/>
        <v>0</v>
      </c>
      <c r="AM62" s="31">
        <f t="shared" si="21"/>
        <v>0</v>
      </c>
      <c r="AN62" s="32" t="s">
        <v>351</v>
      </c>
      <c r="AO62" s="32" t="s">
        <v>360</v>
      </c>
      <c r="AP62" s="26" t="s">
        <v>363</v>
      </c>
    </row>
    <row r="63" spans="1:42">
      <c r="A63" s="4" t="s">
        <v>44</v>
      </c>
      <c r="B63" s="4"/>
      <c r="C63" s="4" t="s">
        <v>136</v>
      </c>
      <c r="D63" s="4" t="s">
        <v>245</v>
      </c>
      <c r="E63" s="4" t="s">
        <v>308</v>
      </c>
      <c r="F63" s="17">
        <v>2</v>
      </c>
      <c r="G63" s="17">
        <v>0</v>
      </c>
      <c r="H63" s="17">
        <f t="shared" si="12"/>
        <v>0</v>
      </c>
      <c r="I63" s="17">
        <f t="shared" si="13"/>
        <v>0</v>
      </c>
      <c r="J63" s="17">
        <f t="shared" si="14"/>
        <v>0</v>
      </c>
      <c r="K63" s="17">
        <v>2.2000000000000001E-4</v>
      </c>
      <c r="L63" s="17">
        <f t="shared" si="15"/>
        <v>4.4000000000000002E-4</v>
      </c>
      <c r="M63" s="27" t="s">
        <v>7</v>
      </c>
      <c r="N63" s="17">
        <f t="shared" si="16"/>
        <v>0</v>
      </c>
      <c r="Y63" s="17">
        <f t="shared" si="17"/>
        <v>0</v>
      </c>
      <c r="Z63" s="17">
        <f t="shared" si="18"/>
        <v>0</v>
      </c>
      <c r="AA63" s="17">
        <f t="shared" si="19"/>
        <v>0</v>
      </c>
      <c r="AC63" s="31">
        <v>21</v>
      </c>
      <c r="AD63" s="31">
        <f>G63*0.143471281757966</f>
        <v>0</v>
      </c>
      <c r="AE63" s="31">
        <f>G63*(1-0.143471281757966)</f>
        <v>0</v>
      </c>
      <c r="AL63" s="31">
        <f t="shared" si="20"/>
        <v>0</v>
      </c>
      <c r="AM63" s="31">
        <f t="shared" si="21"/>
        <v>0</v>
      </c>
      <c r="AN63" s="32" t="s">
        <v>351</v>
      </c>
      <c r="AO63" s="32" t="s">
        <v>360</v>
      </c>
      <c r="AP63" s="26" t="s">
        <v>363</v>
      </c>
    </row>
    <row r="64" spans="1:42">
      <c r="A64" s="4" t="s">
        <v>45</v>
      </c>
      <c r="B64" s="4"/>
      <c r="C64" s="4" t="s">
        <v>137</v>
      </c>
      <c r="D64" s="4" t="s">
        <v>246</v>
      </c>
      <c r="E64" s="4" t="s">
        <v>308</v>
      </c>
      <c r="F64" s="17">
        <v>2</v>
      </c>
      <c r="G64" s="17">
        <v>0</v>
      </c>
      <c r="H64" s="17">
        <f t="shared" si="12"/>
        <v>0</v>
      </c>
      <c r="I64" s="17">
        <f t="shared" si="13"/>
        <v>0</v>
      </c>
      <c r="J64" s="17">
        <f t="shared" si="14"/>
        <v>0</v>
      </c>
      <c r="K64" s="17">
        <v>1.1E-4</v>
      </c>
      <c r="L64" s="17">
        <f t="shared" si="15"/>
        <v>2.2000000000000001E-4</v>
      </c>
      <c r="M64" s="27" t="s">
        <v>7</v>
      </c>
      <c r="N64" s="17">
        <f t="shared" si="16"/>
        <v>0</v>
      </c>
      <c r="Y64" s="17">
        <f t="shared" si="17"/>
        <v>0</v>
      </c>
      <c r="Z64" s="17">
        <f t="shared" si="18"/>
        <v>0</v>
      </c>
      <c r="AA64" s="17">
        <f t="shared" si="19"/>
        <v>0</v>
      </c>
      <c r="AC64" s="31">
        <v>21</v>
      </c>
      <c r="AD64" s="31">
        <f>G64*0.139186991869919</f>
        <v>0</v>
      </c>
      <c r="AE64" s="31">
        <f>G64*(1-0.139186991869919)</f>
        <v>0</v>
      </c>
      <c r="AL64" s="31">
        <f t="shared" si="20"/>
        <v>0</v>
      </c>
      <c r="AM64" s="31">
        <f t="shared" si="21"/>
        <v>0</v>
      </c>
      <c r="AN64" s="32" t="s">
        <v>351</v>
      </c>
      <c r="AO64" s="32" t="s">
        <v>360</v>
      </c>
      <c r="AP64" s="26" t="s">
        <v>363</v>
      </c>
    </row>
    <row r="65" spans="1:42">
      <c r="A65" s="4" t="s">
        <v>46</v>
      </c>
      <c r="B65" s="4"/>
      <c r="C65" s="4" t="s">
        <v>138</v>
      </c>
      <c r="D65" s="4" t="s">
        <v>247</v>
      </c>
      <c r="E65" s="4" t="s">
        <v>308</v>
      </c>
      <c r="F65" s="17">
        <v>4</v>
      </c>
      <c r="G65" s="17">
        <v>0</v>
      </c>
      <c r="H65" s="17">
        <f t="shared" si="12"/>
        <v>0</v>
      </c>
      <c r="I65" s="17">
        <f t="shared" si="13"/>
        <v>0</v>
      </c>
      <c r="J65" s="17">
        <f t="shared" si="14"/>
        <v>0</v>
      </c>
      <c r="K65" s="17">
        <v>4.0999999999999999E-4</v>
      </c>
      <c r="L65" s="17">
        <f t="shared" si="15"/>
        <v>1.64E-3</v>
      </c>
      <c r="M65" s="27" t="s">
        <v>7</v>
      </c>
      <c r="N65" s="17">
        <f t="shared" si="16"/>
        <v>0</v>
      </c>
      <c r="Y65" s="17">
        <f t="shared" si="17"/>
        <v>0</v>
      </c>
      <c r="Z65" s="17">
        <f t="shared" si="18"/>
        <v>0</v>
      </c>
      <c r="AA65" s="17">
        <f t="shared" si="19"/>
        <v>0</v>
      </c>
      <c r="AC65" s="31">
        <v>21</v>
      </c>
      <c r="AD65" s="31">
        <f>G65*0.203685714285714</f>
        <v>0</v>
      </c>
      <c r="AE65" s="31">
        <f>G65*(1-0.203685714285714)</f>
        <v>0</v>
      </c>
      <c r="AL65" s="31">
        <f t="shared" si="20"/>
        <v>0</v>
      </c>
      <c r="AM65" s="31">
        <f t="shared" si="21"/>
        <v>0</v>
      </c>
      <c r="AN65" s="32" t="s">
        <v>351</v>
      </c>
      <c r="AO65" s="32" t="s">
        <v>360</v>
      </c>
      <c r="AP65" s="26" t="s">
        <v>363</v>
      </c>
    </row>
    <row r="66" spans="1:42">
      <c r="A66" s="4" t="s">
        <v>47</v>
      </c>
      <c r="B66" s="4"/>
      <c r="C66" s="4" t="s">
        <v>139</v>
      </c>
      <c r="D66" s="4" t="s">
        <v>248</v>
      </c>
      <c r="E66" s="4" t="s">
        <v>305</v>
      </c>
      <c r="F66" s="17">
        <v>371</v>
      </c>
      <c r="G66" s="17">
        <v>0</v>
      </c>
      <c r="H66" s="17">
        <f t="shared" si="12"/>
        <v>0</v>
      </c>
      <c r="I66" s="17">
        <f t="shared" si="13"/>
        <v>0</v>
      </c>
      <c r="J66" s="17">
        <f t="shared" si="14"/>
        <v>0</v>
      </c>
      <c r="K66" s="17">
        <v>0</v>
      </c>
      <c r="L66" s="17">
        <f t="shared" si="15"/>
        <v>0</v>
      </c>
      <c r="M66" s="27" t="s">
        <v>7</v>
      </c>
      <c r="N66" s="17">
        <f t="shared" si="16"/>
        <v>0</v>
      </c>
      <c r="Y66" s="17">
        <f t="shared" si="17"/>
        <v>0</v>
      </c>
      <c r="Z66" s="17">
        <f t="shared" si="18"/>
        <v>0</v>
      </c>
      <c r="AA66" s="17">
        <f t="shared" si="19"/>
        <v>0</v>
      </c>
      <c r="AC66" s="31">
        <v>21</v>
      </c>
      <c r="AD66" s="31">
        <f>G66*0</f>
        <v>0</v>
      </c>
      <c r="AE66" s="31">
        <f>G66*(1-0)</f>
        <v>0</v>
      </c>
      <c r="AL66" s="31">
        <f t="shared" si="20"/>
        <v>0</v>
      </c>
      <c r="AM66" s="31">
        <f t="shared" si="21"/>
        <v>0</v>
      </c>
      <c r="AN66" s="32" t="s">
        <v>351</v>
      </c>
      <c r="AO66" s="32" t="s">
        <v>360</v>
      </c>
      <c r="AP66" s="26" t="s">
        <v>363</v>
      </c>
    </row>
    <row r="67" spans="1:42">
      <c r="A67" s="4" t="s">
        <v>48</v>
      </c>
      <c r="B67" s="4"/>
      <c r="C67" s="4" t="s">
        <v>140</v>
      </c>
      <c r="D67" s="4" t="s">
        <v>249</v>
      </c>
      <c r="E67" s="4" t="s">
        <v>308</v>
      </c>
      <c r="F67" s="17">
        <v>11</v>
      </c>
      <c r="G67" s="17">
        <v>0</v>
      </c>
      <c r="H67" s="17">
        <f t="shared" si="12"/>
        <v>0</v>
      </c>
      <c r="I67" s="17">
        <f t="shared" si="13"/>
        <v>0</v>
      </c>
      <c r="J67" s="17">
        <f t="shared" si="14"/>
        <v>0</v>
      </c>
      <c r="K67" s="17">
        <v>3.0701800000000001</v>
      </c>
      <c r="L67" s="17">
        <f t="shared" si="15"/>
        <v>33.771979999999999</v>
      </c>
      <c r="M67" s="27" t="s">
        <v>7</v>
      </c>
      <c r="N67" s="17">
        <f t="shared" si="16"/>
        <v>0</v>
      </c>
      <c r="Y67" s="17">
        <f t="shared" si="17"/>
        <v>0</v>
      </c>
      <c r="Z67" s="17">
        <f t="shared" si="18"/>
        <v>0</v>
      </c>
      <c r="AA67" s="17">
        <f t="shared" si="19"/>
        <v>0</v>
      </c>
      <c r="AC67" s="31">
        <v>21</v>
      </c>
      <c r="AD67" s="31">
        <f>G67*0.432925137903861</f>
        <v>0</v>
      </c>
      <c r="AE67" s="31">
        <f>G67*(1-0.432925137903861)</f>
        <v>0</v>
      </c>
      <c r="AL67" s="31">
        <f t="shared" si="20"/>
        <v>0</v>
      </c>
      <c r="AM67" s="31">
        <f t="shared" si="21"/>
        <v>0</v>
      </c>
      <c r="AN67" s="32" t="s">
        <v>351</v>
      </c>
      <c r="AO67" s="32" t="s">
        <v>360</v>
      </c>
      <c r="AP67" s="26" t="s">
        <v>363</v>
      </c>
    </row>
    <row r="68" spans="1:42">
      <c r="A68" s="4" t="s">
        <v>49</v>
      </c>
      <c r="B68" s="4"/>
      <c r="C68" s="4" t="s">
        <v>141</v>
      </c>
      <c r="D68" s="4" t="s">
        <v>250</v>
      </c>
      <c r="E68" s="4" t="s">
        <v>308</v>
      </c>
      <c r="F68" s="17">
        <v>11</v>
      </c>
      <c r="G68" s="17">
        <v>0</v>
      </c>
      <c r="H68" s="17">
        <f t="shared" si="12"/>
        <v>0</v>
      </c>
      <c r="I68" s="17">
        <f t="shared" si="13"/>
        <v>0</v>
      </c>
      <c r="J68" s="17">
        <f t="shared" si="14"/>
        <v>0</v>
      </c>
      <c r="K68" s="17">
        <v>9.8600000000000007E-3</v>
      </c>
      <c r="L68" s="17">
        <f t="shared" si="15"/>
        <v>0.10846</v>
      </c>
      <c r="M68" s="27" t="s">
        <v>7</v>
      </c>
      <c r="N68" s="17">
        <f t="shared" si="16"/>
        <v>0</v>
      </c>
      <c r="Y68" s="17">
        <f t="shared" si="17"/>
        <v>0</v>
      </c>
      <c r="Z68" s="17">
        <f t="shared" si="18"/>
        <v>0</v>
      </c>
      <c r="AA68" s="17">
        <f t="shared" si="19"/>
        <v>0</v>
      </c>
      <c r="AC68" s="31">
        <v>21</v>
      </c>
      <c r="AD68" s="31">
        <f>G68*0.0446281588447653</f>
        <v>0</v>
      </c>
      <c r="AE68" s="31">
        <f>G68*(1-0.0446281588447653)</f>
        <v>0</v>
      </c>
      <c r="AL68" s="31">
        <f t="shared" si="20"/>
        <v>0</v>
      </c>
      <c r="AM68" s="31">
        <f t="shared" si="21"/>
        <v>0</v>
      </c>
      <c r="AN68" s="32" t="s">
        <v>351</v>
      </c>
      <c r="AO68" s="32" t="s">
        <v>360</v>
      </c>
      <c r="AP68" s="26" t="s">
        <v>363</v>
      </c>
    </row>
    <row r="69" spans="1:42">
      <c r="A69" s="4" t="s">
        <v>50</v>
      </c>
      <c r="B69" s="4"/>
      <c r="C69" s="4" t="s">
        <v>142</v>
      </c>
      <c r="D69" s="4" t="s">
        <v>251</v>
      </c>
      <c r="E69" s="4" t="s">
        <v>308</v>
      </c>
      <c r="F69" s="17">
        <v>40</v>
      </c>
      <c r="G69" s="17">
        <v>0</v>
      </c>
      <c r="H69" s="17">
        <f t="shared" si="12"/>
        <v>0</v>
      </c>
      <c r="I69" s="17">
        <f t="shared" si="13"/>
        <v>0</v>
      </c>
      <c r="J69" s="17">
        <f t="shared" si="14"/>
        <v>0</v>
      </c>
      <c r="K69" s="17">
        <v>0</v>
      </c>
      <c r="L69" s="17">
        <f t="shared" si="15"/>
        <v>0</v>
      </c>
      <c r="M69" s="27" t="s">
        <v>7</v>
      </c>
      <c r="N69" s="17">
        <f t="shared" si="16"/>
        <v>0</v>
      </c>
      <c r="Y69" s="17">
        <f t="shared" si="17"/>
        <v>0</v>
      </c>
      <c r="Z69" s="17">
        <f t="shared" si="18"/>
        <v>0</v>
      </c>
      <c r="AA69" s="17">
        <f t="shared" si="19"/>
        <v>0</v>
      </c>
      <c r="AC69" s="31">
        <v>21</v>
      </c>
      <c r="AD69" s="31">
        <f>G69*0</f>
        <v>0</v>
      </c>
      <c r="AE69" s="31">
        <f>G69*(1-0)</f>
        <v>0</v>
      </c>
      <c r="AL69" s="31">
        <f t="shared" si="20"/>
        <v>0</v>
      </c>
      <c r="AM69" s="31">
        <f t="shared" si="21"/>
        <v>0</v>
      </c>
      <c r="AN69" s="32" t="s">
        <v>351</v>
      </c>
      <c r="AO69" s="32" t="s">
        <v>360</v>
      </c>
      <c r="AP69" s="26" t="s">
        <v>363</v>
      </c>
    </row>
    <row r="70" spans="1:42">
      <c r="A70" s="4" t="s">
        <v>51</v>
      </c>
      <c r="B70" s="4"/>
      <c r="C70" s="4" t="s">
        <v>143</v>
      </c>
      <c r="D70" s="4" t="s">
        <v>252</v>
      </c>
      <c r="E70" s="4" t="s">
        <v>308</v>
      </c>
      <c r="F70" s="17">
        <v>11</v>
      </c>
      <c r="G70" s="17">
        <v>0</v>
      </c>
      <c r="H70" s="17">
        <f t="shared" si="12"/>
        <v>0</v>
      </c>
      <c r="I70" s="17">
        <f t="shared" si="13"/>
        <v>0</v>
      </c>
      <c r="J70" s="17">
        <f t="shared" si="14"/>
        <v>0</v>
      </c>
      <c r="K70" s="17">
        <v>0.16502</v>
      </c>
      <c r="L70" s="17">
        <f t="shared" si="15"/>
        <v>1.8152200000000001</v>
      </c>
      <c r="M70" s="27" t="s">
        <v>7</v>
      </c>
      <c r="N70" s="17">
        <f t="shared" si="16"/>
        <v>0</v>
      </c>
      <c r="Y70" s="17">
        <f t="shared" si="17"/>
        <v>0</v>
      </c>
      <c r="Z70" s="17">
        <f t="shared" si="18"/>
        <v>0</v>
      </c>
      <c r="AA70" s="17">
        <f t="shared" si="19"/>
        <v>0</v>
      </c>
      <c r="AC70" s="31">
        <v>21</v>
      </c>
      <c r="AD70" s="31">
        <f>G70*0.830852734922861</f>
        <v>0</v>
      </c>
      <c r="AE70" s="31">
        <f>G70*(1-0.830852734922861)</f>
        <v>0</v>
      </c>
      <c r="AL70" s="31">
        <f t="shared" si="20"/>
        <v>0</v>
      </c>
      <c r="AM70" s="31">
        <f t="shared" si="21"/>
        <v>0</v>
      </c>
      <c r="AN70" s="32" t="s">
        <v>351</v>
      </c>
      <c r="AO70" s="32" t="s">
        <v>360</v>
      </c>
      <c r="AP70" s="26" t="s">
        <v>363</v>
      </c>
    </row>
    <row r="71" spans="1:42">
      <c r="A71" s="4" t="s">
        <v>52</v>
      </c>
      <c r="B71" s="4"/>
      <c r="C71" s="4" t="s">
        <v>144</v>
      </c>
      <c r="D71" s="4" t="s">
        <v>253</v>
      </c>
      <c r="E71" s="4" t="s">
        <v>308</v>
      </c>
      <c r="F71" s="17">
        <v>6</v>
      </c>
      <c r="G71" s="17">
        <v>0</v>
      </c>
      <c r="H71" s="17">
        <f t="shared" si="12"/>
        <v>0</v>
      </c>
      <c r="I71" s="17">
        <f t="shared" si="13"/>
        <v>0</v>
      </c>
      <c r="J71" s="17">
        <f t="shared" si="14"/>
        <v>0</v>
      </c>
      <c r="K71" s="17">
        <v>0.11178</v>
      </c>
      <c r="L71" s="17">
        <f t="shared" si="15"/>
        <v>0.67068000000000005</v>
      </c>
      <c r="M71" s="27" t="s">
        <v>7</v>
      </c>
      <c r="N71" s="17">
        <f t="shared" si="16"/>
        <v>0</v>
      </c>
      <c r="Y71" s="17">
        <f t="shared" si="17"/>
        <v>0</v>
      </c>
      <c r="Z71" s="17">
        <f t="shared" si="18"/>
        <v>0</v>
      </c>
      <c r="AA71" s="17">
        <f t="shared" si="19"/>
        <v>0</v>
      </c>
      <c r="AC71" s="31">
        <v>21</v>
      </c>
      <c r="AD71" s="31">
        <f>G71*0.42093316519546</f>
        <v>0</v>
      </c>
      <c r="AE71" s="31">
        <f>G71*(1-0.42093316519546)</f>
        <v>0</v>
      </c>
      <c r="AL71" s="31">
        <f t="shared" si="20"/>
        <v>0</v>
      </c>
      <c r="AM71" s="31">
        <f t="shared" si="21"/>
        <v>0</v>
      </c>
      <c r="AN71" s="32" t="s">
        <v>351</v>
      </c>
      <c r="AO71" s="32" t="s">
        <v>360</v>
      </c>
      <c r="AP71" s="26" t="s">
        <v>363</v>
      </c>
    </row>
    <row r="72" spans="1:42">
      <c r="A72" s="4" t="s">
        <v>53</v>
      </c>
      <c r="B72" s="4"/>
      <c r="C72" s="4" t="s">
        <v>145</v>
      </c>
      <c r="D72" s="4" t="s">
        <v>254</v>
      </c>
      <c r="E72" s="4" t="s">
        <v>308</v>
      </c>
      <c r="F72" s="17">
        <v>2</v>
      </c>
      <c r="G72" s="17">
        <v>0</v>
      </c>
      <c r="H72" s="17">
        <f t="shared" si="12"/>
        <v>0</v>
      </c>
      <c r="I72" s="17">
        <f t="shared" si="13"/>
        <v>0</v>
      </c>
      <c r="J72" s="17">
        <f t="shared" si="14"/>
        <v>0</v>
      </c>
      <c r="K72" s="17">
        <v>0.29823</v>
      </c>
      <c r="L72" s="17">
        <f t="shared" si="15"/>
        <v>0.59645999999999999</v>
      </c>
      <c r="M72" s="27" t="s">
        <v>7</v>
      </c>
      <c r="N72" s="17">
        <f t="shared" si="16"/>
        <v>0</v>
      </c>
      <c r="Y72" s="17">
        <f t="shared" si="17"/>
        <v>0</v>
      </c>
      <c r="Z72" s="17">
        <f t="shared" si="18"/>
        <v>0</v>
      </c>
      <c r="AA72" s="17">
        <f t="shared" si="19"/>
        <v>0</v>
      </c>
      <c r="AC72" s="31">
        <v>21</v>
      </c>
      <c r="AD72" s="31">
        <f>G72*0.581895597598927</f>
        <v>0</v>
      </c>
      <c r="AE72" s="31">
        <f>G72*(1-0.581895597598927)</f>
        <v>0</v>
      </c>
      <c r="AL72" s="31">
        <f t="shared" si="20"/>
        <v>0</v>
      </c>
      <c r="AM72" s="31">
        <f t="shared" si="21"/>
        <v>0</v>
      </c>
      <c r="AN72" s="32" t="s">
        <v>351</v>
      </c>
      <c r="AO72" s="32" t="s">
        <v>360</v>
      </c>
      <c r="AP72" s="26" t="s">
        <v>363</v>
      </c>
    </row>
    <row r="73" spans="1:42">
      <c r="A73" s="4" t="s">
        <v>54</v>
      </c>
      <c r="B73" s="4"/>
      <c r="C73" s="4" t="s">
        <v>146</v>
      </c>
      <c r="D73" s="4" t="s">
        <v>255</v>
      </c>
      <c r="E73" s="4" t="s">
        <v>308</v>
      </c>
      <c r="F73" s="17">
        <v>4</v>
      </c>
      <c r="G73" s="17">
        <v>0</v>
      </c>
      <c r="H73" s="17">
        <f t="shared" si="12"/>
        <v>0</v>
      </c>
      <c r="I73" s="17">
        <f t="shared" si="13"/>
        <v>0</v>
      </c>
      <c r="J73" s="17">
        <f t="shared" si="14"/>
        <v>0</v>
      </c>
      <c r="K73" s="17">
        <v>2.4000000000000001E-4</v>
      </c>
      <c r="L73" s="17">
        <f t="shared" si="15"/>
        <v>9.6000000000000002E-4</v>
      </c>
      <c r="M73" s="27" t="s">
        <v>7</v>
      </c>
      <c r="N73" s="17">
        <f t="shared" si="16"/>
        <v>0</v>
      </c>
      <c r="Y73" s="17">
        <f t="shared" si="17"/>
        <v>0</v>
      </c>
      <c r="Z73" s="17">
        <f t="shared" si="18"/>
        <v>0</v>
      </c>
      <c r="AA73" s="17">
        <f t="shared" si="19"/>
        <v>0</v>
      </c>
      <c r="AC73" s="31">
        <v>21</v>
      </c>
      <c r="AD73" s="31">
        <f>G73*0.451141178078447</f>
        <v>0</v>
      </c>
      <c r="AE73" s="31">
        <f>G73*(1-0.451141178078447)</f>
        <v>0</v>
      </c>
      <c r="AL73" s="31">
        <f t="shared" si="20"/>
        <v>0</v>
      </c>
      <c r="AM73" s="31">
        <f t="shared" si="21"/>
        <v>0</v>
      </c>
      <c r="AN73" s="32" t="s">
        <v>351</v>
      </c>
      <c r="AO73" s="32" t="s">
        <v>360</v>
      </c>
      <c r="AP73" s="26" t="s">
        <v>363</v>
      </c>
    </row>
    <row r="74" spans="1:42">
      <c r="A74" s="4" t="s">
        <v>55</v>
      </c>
      <c r="B74" s="4"/>
      <c r="C74" s="4" t="s">
        <v>147</v>
      </c>
      <c r="D74" s="4" t="s">
        <v>256</v>
      </c>
      <c r="E74" s="4" t="s">
        <v>306</v>
      </c>
      <c r="F74" s="17">
        <v>1</v>
      </c>
      <c r="G74" s="17">
        <v>0</v>
      </c>
      <c r="H74" s="17">
        <f t="shared" si="12"/>
        <v>0</v>
      </c>
      <c r="I74" s="17">
        <f t="shared" si="13"/>
        <v>0</v>
      </c>
      <c r="J74" s="17">
        <f t="shared" si="14"/>
        <v>0</v>
      </c>
      <c r="K74" s="17">
        <v>2.5249999999999999</v>
      </c>
      <c r="L74" s="17">
        <f t="shared" si="15"/>
        <v>2.5249999999999999</v>
      </c>
      <c r="M74" s="27" t="s">
        <v>7</v>
      </c>
      <c r="N74" s="17">
        <f t="shared" si="16"/>
        <v>0</v>
      </c>
      <c r="Y74" s="17">
        <f t="shared" si="17"/>
        <v>0</v>
      </c>
      <c r="Z74" s="17">
        <f t="shared" si="18"/>
        <v>0</v>
      </c>
      <c r="AA74" s="17">
        <f t="shared" si="19"/>
        <v>0</v>
      </c>
      <c r="AC74" s="31">
        <v>21</v>
      </c>
      <c r="AD74" s="31">
        <f>G74*0.8609792147806</f>
        <v>0</v>
      </c>
      <c r="AE74" s="31">
        <f>G74*(1-0.8609792147806)</f>
        <v>0</v>
      </c>
      <c r="AL74" s="31">
        <f t="shared" si="20"/>
        <v>0</v>
      </c>
      <c r="AM74" s="31">
        <f t="shared" si="21"/>
        <v>0</v>
      </c>
      <c r="AN74" s="32" t="s">
        <v>351</v>
      </c>
      <c r="AO74" s="32" t="s">
        <v>360</v>
      </c>
      <c r="AP74" s="26" t="s">
        <v>363</v>
      </c>
    </row>
    <row r="75" spans="1:42">
      <c r="A75" s="4" t="s">
        <v>56</v>
      </c>
      <c r="B75" s="4"/>
      <c r="C75" s="4" t="s">
        <v>148</v>
      </c>
      <c r="D75" s="4" t="s">
        <v>257</v>
      </c>
      <c r="E75" s="4" t="s">
        <v>310</v>
      </c>
      <c r="F75" s="17">
        <v>132</v>
      </c>
      <c r="G75" s="17">
        <v>0</v>
      </c>
      <c r="H75" s="17">
        <f t="shared" si="12"/>
        <v>0</v>
      </c>
      <c r="I75" s="17">
        <f t="shared" si="13"/>
        <v>0</v>
      </c>
      <c r="J75" s="17">
        <f t="shared" si="14"/>
        <v>0</v>
      </c>
      <c r="K75" s="17">
        <v>4.6800000000000001E-3</v>
      </c>
      <c r="L75" s="17">
        <f t="shared" si="15"/>
        <v>0.61775999999999998</v>
      </c>
      <c r="M75" s="27" t="s">
        <v>7</v>
      </c>
      <c r="N75" s="17">
        <f t="shared" si="16"/>
        <v>0</v>
      </c>
      <c r="Y75" s="17">
        <f t="shared" si="17"/>
        <v>0</v>
      </c>
      <c r="Z75" s="17">
        <f t="shared" si="18"/>
        <v>0</v>
      </c>
      <c r="AA75" s="17">
        <f t="shared" si="19"/>
        <v>0</v>
      </c>
      <c r="AC75" s="31">
        <v>21</v>
      </c>
      <c r="AD75" s="31">
        <f>G75*0.02944</f>
        <v>0</v>
      </c>
      <c r="AE75" s="31">
        <f>G75*(1-0.02944)</f>
        <v>0</v>
      </c>
      <c r="AL75" s="31">
        <f t="shared" si="20"/>
        <v>0</v>
      </c>
      <c r="AM75" s="31">
        <f t="shared" si="21"/>
        <v>0</v>
      </c>
      <c r="AN75" s="32" t="s">
        <v>351</v>
      </c>
      <c r="AO75" s="32" t="s">
        <v>360</v>
      </c>
      <c r="AP75" s="26" t="s">
        <v>363</v>
      </c>
    </row>
    <row r="76" spans="1:42">
      <c r="A76" s="5"/>
      <c r="B76" s="13"/>
      <c r="C76" s="13" t="s">
        <v>149</v>
      </c>
      <c r="D76" s="63" t="s">
        <v>258</v>
      </c>
      <c r="E76" s="64"/>
      <c r="F76" s="64"/>
      <c r="G76" s="64"/>
      <c r="H76" s="34">
        <f>SUM(H77:H77)</f>
        <v>0</v>
      </c>
      <c r="I76" s="34">
        <f>SUM(I77:I77)</f>
        <v>0</v>
      </c>
      <c r="J76" s="34">
        <f>H76+I76</f>
        <v>0</v>
      </c>
      <c r="K76" s="26"/>
      <c r="L76" s="34">
        <f>SUM(L77:L77)</f>
        <v>0</v>
      </c>
      <c r="O76" s="34">
        <f>IF(P76="PR",J76,SUM(N77:N77))</f>
        <v>0</v>
      </c>
      <c r="P76" s="26" t="s">
        <v>329</v>
      </c>
      <c r="Q76" s="34">
        <f>IF(P76="HS",H76,0)</f>
        <v>0</v>
      </c>
      <c r="R76" s="34">
        <f>IF(P76="HS",I76-O76,0)</f>
        <v>0</v>
      </c>
      <c r="S76" s="34">
        <f>IF(P76="PS",H76,0)</f>
        <v>0</v>
      </c>
      <c r="T76" s="34">
        <f>IF(P76="PS",I76-O76,0)</f>
        <v>0</v>
      </c>
      <c r="U76" s="34">
        <f>IF(P76="MP",H76,0)</f>
        <v>0</v>
      </c>
      <c r="V76" s="34">
        <f>IF(P76="MP",I76-O76,0)</f>
        <v>0</v>
      </c>
      <c r="W76" s="34">
        <f>IF(P76="OM",H76,0)</f>
        <v>0</v>
      </c>
      <c r="X76" s="26"/>
      <c r="AH76" s="34">
        <f>SUM(Y77:Y77)</f>
        <v>0</v>
      </c>
      <c r="AI76" s="34">
        <f>SUM(Z77:Z77)</f>
        <v>0</v>
      </c>
      <c r="AJ76" s="34">
        <f>SUM(AA77:AA77)</f>
        <v>0</v>
      </c>
    </row>
    <row r="77" spans="1:42">
      <c r="A77" s="4" t="s">
        <v>57</v>
      </c>
      <c r="B77" s="4"/>
      <c r="C77" s="4" t="s">
        <v>150</v>
      </c>
      <c r="D77" s="4" t="s">
        <v>259</v>
      </c>
      <c r="E77" s="4" t="s">
        <v>311</v>
      </c>
      <c r="F77" s="17">
        <v>30</v>
      </c>
      <c r="G77" s="17">
        <v>0</v>
      </c>
      <c r="H77" s="17">
        <f>F77*AD77</f>
        <v>0</v>
      </c>
      <c r="I77" s="17">
        <f>J77-H77</f>
        <v>0</v>
      </c>
      <c r="J77" s="17">
        <f>F77*G77</f>
        <v>0</v>
      </c>
      <c r="K77" s="17">
        <v>0</v>
      </c>
      <c r="L77" s="17">
        <f>F77*K77</f>
        <v>0</v>
      </c>
      <c r="M77" s="27" t="s">
        <v>7</v>
      </c>
      <c r="N77" s="17">
        <f>IF(M77="5",I77,0)</f>
        <v>0</v>
      </c>
      <c r="Y77" s="17">
        <f>IF(AC77=0,J77,0)</f>
        <v>0</v>
      </c>
      <c r="Z77" s="17">
        <f>IF(AC77=15,J77,0)</f>
        <v>0</v>
      </c>
      <c r="AA77" s="17">
        <f>IF(AC77=21,J77,0)</f>
        <v>0</v>
      </c>
      <c r="AC77" s="31">
        <v>21</v>
      </c>
      <c r="AD77" s="31">
        <f>G77*0</f>
        <v>0</v>
      </c>
      <c r="AE77" s="31">
        <f>G77*(1-0)</f>
        <v>0</v>
      </c>
      <c r="AL77" s="31">
        <f>F77*AD77</f>
        <v>0</v>
      </c>
      <c r="AM77" s="31">
        <f>F77*AE77</f>
        <v>0</v>
      </c>
      <c r="AN77" s="32" t="s">
        <v>352</v>
      </c>
      <c r="AO77" s="32" t="s">
        <v>361</v>
      </c>
      <c r="AP77" s="26" t="s">
        <v>363</v>
      </c>
    </row>
    <row r="78" spans="1:42">
      <c r="A78" s="5"/>
      <c r="B78" s="13"/>
      <c r="C78" s="13" t="s">
        <v>151</v>
      </c>
      <c r="D78" s="63" t="s">
        <v>260</v>
      </c>
      <c r="E78" s="64"/>
      <c r="F78" s="64"/>
      <c r="G78" s="64"/>
      <c r="H78" s="34">
        <f>SUM(H79:H80)</f>
        <v>0</v>
      </c>
      <c r="I78" s="34">
        <f>SUM(I79:I80)</f>
        <v>0</v>
      </c>
      <c r="J78" s="34">
        <f>H78+I78</f>
        <v>0</v>
      </c>
      <c r="K78" s="26"/>
      <c r="L78" s="34">
        <f>SUM(L79:L80)</f>
        <v>27.477809999999998</v>
      </c>
      <c r="O78" s="34">
        <f>IF(P78="PR",J78,SUM(N79:N80))</f>
        <v>0</v>
      </c>
      <c r="P78" s="26" t="s">
        <v>329</v>
      </c>
      <c r="Q78" s="34">
        <f>IF(P78="HS",H78,0)</f>
        <v>0</v>
      </c>
      <c r="R78" s="34">
        <f>IF(P78="HS",I78-O78,0)</f>
        <v>0</v>
      </c>
      <c r="S78" s="34">
        <f>IF(P78="PS",H78,0)</f>
        <v>0</v>
      </c>
      <c r="T78" s="34">
        <f>IF(P78="PS",I78-O78,0)</f>
        <v>0</v>
      </c>
      <c r="U78" s="34">
        <f>IF(P78="MP",H78,0)</f>
        <v>0</v>
      </c>
      <c r="V78" s="34">
        <f>IF(P78="MP",I78-O78,0)</f>
        <v>0</v>
      </c>
      <c r="W78" s="34">
        <f>IF(P78="OM",H78,0)</f>
        <v>0</v>
      </c>
      <c r="X78" s="26"/>
      <c r="AH78" s="34">
        <f>SUM(Y79:Y80)</f>
        <v>0</v>
      </c>
      <c r="AI78" s="34">
        <f>SUM(Z79:Z80)</f>
        <v>0</v>
      </c>
      <c r="AJ78" s="34">
        <f>SUM(AA79:AA80)</f>
        <v>0</v>
      </c>
    </row>
    <row r="79" spans="1:42">
      <c r="A79" s="4" t="s">
        <v>58</v>
      </c>
      <c r="B79" s="4"/>
      <c r="C79" s="4" t="s">
        <v>152</v>
      </c>
      <c r="D79" s="4" t="s">
        <v>261</v>
      </c>
      <c r="E79" s="4" t="s">
        <v>305</v>
      </c>
      <c r="F79" s="17">
        <v>24</v>
      </c>
      <c r="G79" s="17">
        <v>0</v>
      </c>
      <c r="H79" s="17">
        <f>F79*AD79</f>
        <v>0</v>
      </c>
      <c r="I79" s="17">
        <f>J79-H79</f>
        <v>0</v>
      </c>
      <c r="J79" s="17">
        <f>F79*G79</f>
        <v>0</v>
      </c>
      <c r="K79" s="17">
        <v>0</v>
      </c>
      <c r="L79" s="17">
        <f>F79*K79</f>
        <v>0</v>
      </c>
      <c r="M79" s="27" t="s">
        <v>7</v>
      </c>
      <c r="N79" s="17">
        <f>IF(M79="5",I79,0)</f>
        <v>0</v>
      </c>
      <c r="Y79" s="17">
        <f>IF(AC79=0,J79,0)</f>
        <v>0</v>
      </c>
      <c r="Z79" s="17">
        <f>IF(AC79=15,J79,0)</f>
        <v>0</v>
      </c>
      <c r="AA79" s="17">
        <f>IF(AC79=21,J79,0)</f>
        <v>0</v>
      </c>
      <c r="AC79" s="31">
        <v>21</v>
      </c>
      <c r="AD79" s="31">
        <f>G79*0.625023696682464</f>
        <v>0</v>
      </c>
      <c r="AE79" s="31">
        <f>G79*(1-0.625023696682464)</f>
        <v>0</v>
      </c>
      <c r="AL79" s="31">
        <f>F79*AD79</f>
        <v>0</v>
      </c>
      <c r="AM79" s="31">
        <f>F79*AE79</f>
        <v>0</v>
      </c>
      <c r="AN79" s="32" t="s">
        <v>353</v>
      </c>
      <c r="AO79" s="32" t="s">
        <v>361</v>
      </c>
      <c r="AP79" s="26" t="s">
        <v>363</v>
      </c>
    </row>
    <row r="80" spans="1:42">
      <c r="A80" s="4" t="s">
        <v>59</v>
      </c>
      <c r="B80" s="4"/>
      <c r="C80" s="4" t="s">
        <v>153</v>
      </c>
      <c r="D80" s="4" t="s">
        <v>262</v>
      </c>
      <c r="E80" s="4" t="s">
        <v>308</v>
      </c>
      <c r="F80" s="17">
        <v>3</v>
      </c>
      <c r="G80" s="17">
        <v>0</v>
      </c>
      <c r="H80" s="17">
        <f>F80*AD80</f>
        <v>0</v>
      </c>
      <c r="I80" s="17">
        <f>J80-H80</f>
        <v>0</v>
      </c>
      <c r="J80" s="17">
        <f>F80*G80</f>
        <v>0</v>
      </c>
      <c r="K80" s="17">
        <v>9.1592699999999994</v>
      </c>
      <c r="L80" s="17">
        <f>F80*K80</f>
        <v>27.477809999999998</v>
      </c>
      <c r="M80" s="27" t="s">
        <v>7</v>
      </c>
      <c r="N80" s="17">
        <f>IF(M80="5",I80,0)</f>
        <v>0</v>
      </c>
      <c r="Y80" s="17">
        <f>IF(AC80=0,J80,0)</f>
        <v>0</v>
      </c>
      <c r="Z80" s="17">
        <f>IF(AC80=15,J80,0)</f>
        <v>0</v>
      </c>
      <c r="AA80" s="17">
        <f>IF(AC80=21,J80,0)</f>
        <v>0</v>
      </c>
      <c r="AC80" s="31">
        <v>21</v>
      </c>
      <c r="AD80" s="31">
        <f>G80*0.705254389793472</f>
        <v>0</v>
      </c>
      <c r="AE80" s="31">
        <f>G80*(1-0.705254389793472)</f>
        <v>0</v>
      </c>
      <c r="AL80" s="31">
        <f>F80*AD80</f>
        <v>0</v>
      </c>
      <c r="AM80" s="31">
        <f>F80*AE80</f>
        <v>0</v>
      </c>
      <c r="AN80" s="32" t="s">
        <v>353</v>
      </c>
      <c r="AO80" s="32" t="s">
        <v>361</v>
      </c>
      <c r="AP80" s="26" t="s">
        <v>363</v>
      </c>
    </row>
    <row r="81" spans="1:42">
      <c r="A81" s="5"/>
      <c r="B81" s="13"/>
      <c r="C81" s="13" t="s">
        <v>154</v>
      </c>
      <c r="D81" s="63" t="s">
        <v>263</v>
      </c>
      <c r="E81" s="64"/>
      <c r="F81" s="64"/>
      <c r="G81" s="64"/>
      <c r="H81" s="34">
        <f>SUM(H82:H82)</f>
        <v>0</v>
      </c>
      <c r="I81" s="34">
        <f>SUM(I82:I82)</f>
        <v>0</v>
      </c>
      <c r="J81" s="34">
        <f>H81+I81</f>
        <v>0</v>
      </c>
      <c r="K81" s="26"/>
      <c r="L81" s="34">
        <f>SUM(L82:L82)</f>
        <v>24.5</v>
      </c>
      <c r="O81" s="34">
        <f>IF(P81="PR",J81,SUM(N82:N82))</f>
        <v>0</v>
      </c>
      <c r="P81" s="26" t="s">
        <v>329</v>
      </c>
      <c r="Q81" s="34">
        <f>IF(P81="HS",H81,0)</f>
        <v>0</v>
      </c>
      <c r="R81" s="34">
        <f>IF(P81="HS",I81-O81,0)</f>
        <v>0</v>
      </c>
      <c r="S81" s="34">
        <f>IF(P81="PS",H81,0)</f>
        <v>0</v>
      </c>
      <c r="T81" s="34">
        <f>IF(P81="PS",I81-O81,0)</f>
        <v>0</v>
      </c>
      <c r="U81" s="34">
        <f>IF(P81="MP",H81,0)</f>
        <v>0</v>
      </c>
      <c r="V81" s="34">
        <f>IF(P81="MP",I81-O81,0)</f>
        <v>0</v>
      </c>
      <c r="W81" s="34">
        <f>IF(P81="OM",H81,0)</f>
        <v>0</v>
      </c>
      <c r="X81" s="26"/>
      <c r="AH81" s="34">
        <f>SUM(Y82:Y82)</f>
        <v>0</v>
      </c>
      <c r="AI81" s="34">
        <f>SUM(Z82:Z82)</f>
        <v>0</v>
      </c>
      <c r="AJ81" s="34">
        <f>SUM(AA82:AA82)</f>
        <v>0</v>
      </c>
    </row>
    <row r="82" spans="1:42">
      <c r="A82" s="4" t="s">
        <v>60</v>
      </c>
      <c r="B82" s="4"/>
      <c r="C82" s="4" t="s">
        <v>155</v>
      </c>
      <c r="D82" s="4" t="s">
        <v>264</v>
      </c>
      <c r="E82" s="4" t="s">
        <v>305</v>
      </c>
      <c r="F82" s="17">
        <v>25</v>
      </c>
      <c r="G82" s="17">
        <v>0</v>
      </c>
      <c r="H82" s="17">
        <f>F82*AD82</f>
        <v>0</v>
      </c>
      <c r="I82" s="17">
        <f>J82-H82</f>
        <v>0</v>
      </c>
      <c r="J82" s="17">
        <f>F82*G82</f>
        <v>0</v>
      </c>
      <c r="K82" s="17">
        <v>0.98</v>
      </c>
      <c r="L82" s="17">
        <f>F82*K82</f>
        <v>24.5</v>
      </c>
      <c r="M82" s="27" t="s">
        <v>7</v>
      </c>
      <c r="N82" s="17">
        <f>IF(M82="5",I82,0)</f>
        <v>0</v>
      </c>
      <c r="Y82" s="17">
        <f>IF(AC82=0,J82,0)</f>
        <v>0</v>
      </c>
      <c r="Z82" s="17">
        <f>IF(AC82=15,J82,0)</f>
        <v>0</v>
      </c>
      <c r="AA82" s="17">
        <f>IF(AC82=21,J82,0)</f>
        <v>0</v>
      </c>
      <c r="AC82" s="31">
        <v>21</v>
      </c>
      <c r="AD82" s="31">
        <f>G82*0</f>
        <v>0</v>
      </c>
      <c r="AE82" s="31">
        <f>G82*(1-0)</f>
        <v>0</v>
      </c>
      <c r="AL82" s="31">
        <f>F82*AD82</f>
        <v>0</v>
      </c>
      <c r="AM82" s="31">
        <f>F82*AE82</f>
        <v>0</v>
      </c>
      <c r="AN82" s="32" t="s">
        <v>354</v>
      </c>
      <c r="AO82" s="32" t="s">
        <v>361</v>
      </c>
      <c r="AP82" s="26" t="s">
        <v>363</v>
      </c>
    </row>
    <row r="83" spans="1:42">
      <c r="A83" s="5"/>
      <c r="B83" s="13"/>
      <c r="C83" s="13" t="s">
        <v>156</v>
      </c>
      <c r="D83" s="63" t="s">
        <v>265</v>
      </c>
      <c r="E83" s="64"/>
      <c r="F83" s="64"/>
      <c r="G83" s="64"/>
      <c r="H83" s="34">
        <f>SUM(H84:H84)</f>
        <v>0</v>
      </c>
      <c r="I83" s="34">
        <f>SUM(I84:I84)</f>
        <v>0</v>
      </c>
      <c r="J83" s="34">
        <f>H83+I83</f>
        <v>0</v>
      </c>
      <c r="K83" s="26"/>
      <c r="L83" s="34">
        <f>SUM(L84:L84)</f>
        <v>0</v>
      </c>
      <c r="O83" s="34">
        <f>IF(P83="PR",J83,SUM(N84:N84))</f>
        <v>0</v>
      </c>
      <c r="P83" s="26" t="s">
        <v>329</v>
      </c>
      <c r="Q83" s="34">
        <f>IF(P83="HS",H83,0)</f>
        <v>0</v>
      </c>
      <c r="R83" s="34">
        <f>IF(P83="HS",I83-O83,0)</f>
        <v>0</v>
      </c>
      <c r="S83" s="34">
        <f>IF(P83="PS",H83,0)</f>
        <v>0</v>
      </c>
      <c r="T83" s="34">
        <f>IF(P83="PS",I83-O83,0)</f>
        <v>0</v>
      </c>
      <c r="U83" s="34">
        <f>IF(P83="MP",H83,0)</f>
        <v>0</v>
      </c>
      <c r="V83" s="34">
        <f>IF(P83="MP",I83-O83,0)</f>
        <v>0</v>
      </c>
      <c r="W83" s="34">
        <f>IF(P83="OM",H83,0)</f>
        <v>0</v>
      </c>
      <c r="X83" s="26"/>
      <c r="AH83" s="34">
        <f>SUM(Y84:Y84)</f>
        <v>0</v>
      </c>
      <c r="AI83" s="34">
        <f>SUM(Z84:Z84)</f>
        <v>0</v>
      </c>
      <c r="AJ83" s="34">
        <f>SUM(AA84:AA84)</f>
        <v>0</v>
      </c>
    </row>
    <row r="84" spans="1:42">
      <c r="A84" s="4" t="s">
        <v>61</v>
      </c>
      <c r="B84" s="4"/>
      <c r="C84" s="4" t="s">
        <v>157</v>
      </c>
      <c r="D84" s="4" t="s">
        <v>266</v>
      </c>
      <c r="E84" s="4" t="s">
        <v>312</v>
      </c>
      <c r="F84" s="17">
        <v>435</v>
      </c>
      <c r="G84" s="17">
        <v>0</v>
      </c>
      <c r="H84" s="17">
        <f>F84*AD84</f>
        <v>0</v>
      </c>
      <c r="I84" s="17">
        <f>J84-H84</f>
        <v>0</v>
      </c>
      <c r="J84" s="17">
        <f>F84*G84</f>
        <v>0</v>
      </c>
      <c r="K84" s="17">
        <v>0</v>
      </c>
      <c r="L84" s="17">
        <f>F84*K84</f>
        <v>0</v>
      </c>
      <c r="M84" s="27" t="s">
        <v>11</v>
      </c>
      <c r="N84" s="17">
        <f>IF(M84="5",I84,0)</f>
        <v>0</v>
      </c>
      <c r="Y84" s="17">
        <f>IF(AC84=0,J84,0)</f>
        <v>0</v>
      </c>
      <c r="Z84" s="17">
        <f>IF(AC84=15,J84,0)</f>
        <v>0</v>
      </c>
      <c r="AA84" s="17">
        <f>IF(AC84=21,J84,0)</f>
        <v>0</v>
      </c>
      <c r="AC84" s="31">
        <v>21</v>
      </c>
      <c r="AD84" s="31">
        <f>G84*0</f>
        <v>0</v>
      </c>
      <c r="AE84" s="31">
        <f>G84*(1-0)</f>
        <v>0</v>
      </c>
      <c r="AL84" s="31">
        <f>F84*AD84</f>
        <v>0</v>
      </c>
      <c r="AM84" s="31">
        <f>F84*AE84</f>
        <v>0</v>
      </c>
      <c r="AN84" s="32" t="s">
        <v>355</v>
      </c>
      <c r="AO84" s="32" t="s">
        <v>361</v>
      </c>
      <c r="AP84" s="26" t="s">
        <v>363</v>
      </c>
    </row>
    <row r="85" spans="1:42">
      <c r="A85" s="5"/>
      <c r="B85" s="13"/>
      <c r="C85" s="13"/>
      <c r="D85" s="63" t="s">
        <v>267</v>
      </c>
      <c r="E85" s="64"/>
      <c r="F85" s="64"/>
      <c r="G85" s="64"/>
      <c r="H85" s="34">
        <f>SUM(H86:H118)</f>
        <v>0</v>
      </c>
      <c r="I85" s="34">
        <f>SUM(I86:I118)</f>
        <v>0</v>
      </c>
      <c r="J85" s="34">
        <f>H85+I85</f>
        <v>0</v>
      </c>
      <c r="K85" s="26"/>
      <c r="L85" s="34">
        <f>SUM(L86:L118)</f>
        <v>39.43681999999999</v>
      </c>
      <c r="O85" s="34">
        <f>IF(P85="PR",J85,SUM(N86:N118))</f>
        <v>0</v>
      </c>
      <c r="P85" s="26" t="s">
        <v>330</v>
      </c>
      <c r="Q85" s="34">
        <f>IF(P85="HS",H85,0)</f>
        <v>0</v>
      </c>
      <c r="R85" s="34">
        <f>IF(P85="HS",I85-O85,0)</f>
        <v>0</v>
      </c>
      <c r="S85" s="34">
        <f>IF(P85="PS",H85,0)</f>
        <v>0</v>
      </c>
      <c r="T85" s="34">
        <f>IF(P85="PS",I85-O85,0)</f>
        <v>0</v>
      </c>
      <c r="U85" s="34">
        <f>IF(P85="MP",H85,0)</f>
        <v>0</v>
      </c>
      <c r="V85" s="34">
        <f>IF(P85="MP",I85-O85,0)</f>
        <v>0</v>
      </c>
      <c r="W85" s="34">
        <f>IF(P85="OM",H85,0)</f>
        <v>0</v>
      </c>
      <c r="X85" s="26"/>
      <c r="AH85" s="34">
        <f>SUM(Y86:Y118)</f>
        <v>0</v>
      </c>
      <c r="AI85" s="34">
        <f>SUM(Z86:Z118)</f>
        <v>0</v>
      </c>
      <c r="AJ85" s="34">
        <f>SUM(AA86:AA118)</f>
        <v>0</v>
      </c>
    </row>
    <row r="86" spans="1:42">
      <c r="A86" s="6" t="s">
        <v>62</v>
      </c>
      <c r="B86" s="6"/>
      <c r="C86" s="6" t="s">
        <v>158</v>
      </c>
      <c r="D86" s="6" t="s">
        <v>268</v>
      </c>
      <c r="E86" s="6" t="s">
        <v>308</v>
      </c>
      <c r="F86" s="18">
        <v>5</v>
      </c>
      <c r="G86" s="18">
        <v>0</v>
      </c>
      <c r="H86" s="18">
        <f t="shared" ref="H86:H118" si="22">F86*AD86</f>
        <v>0</v>
      </c>
      <c r="I86" s="18">
        <f t="shared" ref="I86:I118" si="23">J86-H86</f>
        <v>0</v>
      </c>
      <c r="J86" s="18">
        <f t="shared" ref="J86:J118" si="24">F86*G86</f>
        <v>0</v>
      </c>
      <c r="K86" s="18">
        <v>0</v>
      </c>
      <c r="L86" s="18">
        <f t="shared" ref="L86:L118" si="25">F86*K86</f>
        <v>0</v>
      </c>
      <c r="M86" s="28" t="s">
        <v>326</v>
      </c>
      <c r="N86" s="18">
        <f t="shared" ref="N86:N118" si="26">IF(M86="5",I86,0)</f>
        <v>0</v>
      </c>
      <c r="Y86" s="18">
        <f t="shared" ref="Y86:Y118" si="27">IF(AC86=0,J86,0)</f>
        <v>0</v>
      </c>
      <c r="Z86" s="18">
        <f t="shared" ref="Z86:Z118" si="28">IF(AC86=15,J86,0)</f>
        <v>0</v>
      </c>
      <c r="AA86" s="18">
        <f t="shared" ref="AA86:AA118" si="29">IF(AC86=21,J86,0)</f>
        <v>0</v>
      </c>
      <c r="AC86" s="31">
        <v>21</v>
      </c>
      <c r="AD86" s="31">
        <f t="shared" ref="AD86:AD118" si="30">G86*1</f>
        <v>0</v>
      </c>
      <c r="AE86" s="31">
        <f t="shared" ref="AE86:AE118" si="31">G86*(1-1)</f>
        <v>0</v>
      </c>
      <c r="AL86" s="31">
        <f t="shared" ref="AL86:AL118" si="32">F86*AD86</f>
        <v>0</v>
      </c>
      <c r="AM86" s="31">
        <f t="shared" ref="AM86:AM118" si="33">F86*AE86</f>
        <v>0</v>
      </c>
      <c r="AN86" s="32" t="s">
        <v>356</v>
      </c>
      <c r="AO86" s="32" t="s">
        <v>362</v>
      </c>
      <c r="AP86" s="26" t="s">
        <v>363</v>
      </c>
    </row>
    <row r="87" spans="1:42">
      <c r="A87" s="6" t="s">
        <v>63</v>
      </c>
      <c r="B87" s="6"/>
      <c r="C87" s="6" t="s">
        <v>159</v>
      </c>
      <c r="D87" s="6" t="s">
        <v>269</v>
      </c>
      <c r="E87" s="6" t="s">
        <v>308</v>
      </c>
      <c r="F87" s="18">
        <v>3</v>
      </c>
      <c r="G87" s="18">
        <v>0</v>
      </c>
      <c r="H87" s="18">
        <f t="shared" si="22"/>
        <v>0</v>
      </c>
      <c r="I87" s="18">
        <f t="shared" si="23"/>
        <v>0</v>
      </c>
      <c r="J87" s="18">
        <f t="shared" si="24"/>
        <v>0</v>
      </c>
      <c r="K87" s="18">
        <v>0</v>
      </c>
      <c r="L87" s="18">
        <f t="shared" si="25"/>
        <v>0</v>
      </c>
      <c r="M87" s="28" t="s">
        <v>326</v>
      </c>
      <c r="N87" s="18">
        <f t="shared" si="26"/>
        <v>0</v>
      </c>
      <c r="Y87" s="18">
        <f t="shared" si="27"/>
        <v>0</v>
      </c>
      <c r="Z87" s="18">
        <f t="shared" si="28"/>
        <v>0</v>
      </c>
      <c r="AA87" s="18">
        <f t="shared" si="29"/>
        <v>0</v>
      </c>
      <c r="AC87" s="31">
        <v>21</v>
      </c>
      <c r="AD87" s="31">
        <f t="shared" si="30"/>
        <v>0</v>
      </c>
      <c r="AE87" s="31">
        <f t="shared" si="31"/>
        <v>0</v>
      </c>
      <c r="AL87" s="31">
        <f t="shared" si="32"/>
        <v>0</v>
      </c>
      <c r="AM87" s="31">
        <f t="shared" si="33"/>
        <v>0</v>
      </c>
      <c r="AN87" s="32" t="s">
        <v>356</v>
      </c>
      <c r="AO87" s="32" t="s">
        <v>362</v>
      </c>
      <c r="AP87" s="26" t="s">
        <v>363</v>
      </c>
    </row>
    <row r="88" spans="1:42">
      <c r="A88" s="6" t="s">
        <v>64</v>
      </c>
      <c r="B88" s="6"/>
      <c r="C88" s="6" t="s">
        <v>160</v>
      </c>
      <c r="D88" s="6" t="s">
        <v>270</v>
      </c>
      <c r="E88" s="6" t="s">
        <v>308</v>
      </c>
      <c r="F88" s="18">
        <v>2</v>
      </c>
      <c r="G88" s="18">
        <v>0</v>
      </c>
      <c r="H88" s="18">
        <f t="shared" si="22"/>
        <v>0</v>
      </c>
      <c r="I88" s="18">
        <f t="shared" si="23"/>
        <v>0</v>
      </c>
      <c r="J88" s="18">
        <f t="shared" si="24"/>
        <v>0</v>
      </c>
      <c r="K88" s="18">
        <v>0</v>
      </c>
      <c r="L88" s="18">
        <f t="shared" si="25"/>
        <v>0</v>
      </c>
      <c r="M88" s="28" t="s">
        <v>326</v>
      </c>
      <c r="N88" s="18">
        <f t="shared" si="26"/>
        <v>0</v>
      </c>
      <c r="Y88" s="18">
        <f t="shared" si="27"/>
        <v>0</v>
      </c>
      <c r="Z88" s="18">
        <f t="shared" si="28"/>
        <v>0</v>
      </c>
      <c r="AA88" s="18">
        <f t="shared" si="29"/>
        <v>0</v>
      </c>
      <c r="AC88" s="31">
        <v>21</v>
      </c>
      <c r="AD88" s="31">
        <f t="shared" si="30"/>
        <v>0</v>
      </c>
      <c r="AE88" s="31">
        <f t="shared" si="31"/>
        <v>0</v>
      </c>
      <c r="AL88" s="31">
        <f t="shared" si="32"/>
        <v>0</v>
      </c>
      <c r="AM88" s="31">
        <f t="shared" si="33"/>
        <v>0</v>
      </c>
      <c r="AN88" s="32" t="s">
        <v>356</v>
      </c>
      <c r="AO88" s="32" t="s">
        <v>362</v>
      </c>
      <c r="AP88" s="26" t="s">
        <v>363</v>
      </c>
    </row>
    <row r="89" spans="1:42">
      <c r="A89" s="6" t="s">
        <v>65</v>
      </c>
      <c r="B89" s="6"/>
      <c r="C89" s="6" t="s">
        <v>161</v>
      </c>
      <c r="D89" s="6" t="s">
        <v>271</v>
      </c>
      <c r="E89" s="6" t="s">
        <v>308</v>
      </c>
      <c r="F89" s="18">
        <v>2</v>
      </c>
      <c r="G89" s="18">
        <v>0</v>
      </c>
      <c r="H89" s="18">
        <f t="shared" si="22"/>
        <v>0</v>
      </c>
      <c r="I89" s="18">
        <f t="shared" si="23"/>
        <v>0</v>
      </c>
      <c r="J89" s="18">
        <f t="shared" si="24"/>
        <v>0</v>
      </c>
      <c r="K89" s="18">
        <v>0</v>
      </c>
      <c r="L89" s="18">
        <f t="shared" si="25"/>
        <v>0</v>
      </c>
      <c r="M89" s="28" t="s">
        <v>326</v>
      </c>
      <c r="N89" s="18">
        <f t="shared" si="26"/>
        <v>0</v>
      </c>
      <c r="Y89" s="18">
        <f t="shared" si="27"/>
        <v>0</v>
      </c>
      <c r="Z89" s="18">
        <f t="shared" si="28"/>
        <v>0</v>
      </c>
      <c r="AA89" s="18">
        <f t="shared" si="29"/>
        <v>0</v>
      </c>
      <c r="AC89" s="31">
        <v>21</v>
      </c>
      <c r="AD89" s="31">
        <f t="shared" si="30"/>
        <v>0</v>
      </c>
      <c r="AE89" s="31">
        <f t="shared" si="31"/>
        <v>0</v>
      </c>
      <c r="AL89" s="31">
        <f t="shared" si="32"/>
        <v>0</v>
      </c>
      <c r="AM89" s="31">
        <f t="shared" si="33"/>
        <v>0</v>
      </c>
      <c r="AN89" s="32" t="s">
        <v>356</v>
      </c>
      <c r="AO89" s="32" t="s">
        <v>362</v>
      </c>
      <c r="AP89" s="26" t="s">
        <v>363</v>
      </c>
    </row>
    <row r="90" spans="1:42">
      <c r="A90" s="6" t="s">
        <v>66</v>
      </c>
      <c r="B90" s="6"/>
      <c r="C90" s="6" t="s">
        <v>162</v>
      </c>
      <c r="D90" s="6" t="s">
        <v>272</v>
      </c>
      <c r="E90" s="6" t="s">
        <v>308</v>
      </c>
      <c r="F90" s="18">
        <v>2</v>
      </c>
      <c r="G90" s="18">
        <v>0</v>
      </c>
      <c r="H90" s="18">
        <f t="shared" si="22"/>
        <v>0</v>
      </c>
      <c r="I90" s="18">
        <f t="shared" si="23"/>
        <v>0</v>
      </c>
      <c r="J90" s="18">
        <f t="shared" si="24"/>
        <v>0</v>
      </c>
      <c r="K90" s="18">
        <v>0</v>
      </c>
      <c r="L90" s="18">
        <f t="shared" si="25"/>
        <v>0</v>
      </c>
      <c r="M90" s="28" t="s">
        <v>326</v>
      </c>
      <c r="N90" s="18">
        <f t="shared" si="26"/>
        <v>0</v>
      </c>
      <c r="Y90" s="18">
        <f t="shared" si="27"/>
        <v>0</v>
      </c>
      <c r="Z90" s="18">
        <f t="shared" si="28"/>
        <v>0</v>
      </c>
      <c r="AA90" s="18">
        <f t="shared" si="29"/>
        <v>0</v>
      </c>
      <c r="AC90" s="31">
        <v>21</v>
      </c>
      <c r="AD90" s="31">
        <f t="shared" si="30"/>
        <v>0</v>
      </c>
      <c r="AE90" s="31">
        <f t="shared" si="31"/>
        <v>0</v>
      </c>
      <c r="AL90" s="31">
        <f t="shared" si="32"/>
        <v>0</v>
      </c>
      <c r="AM90" s="31">
        <f t="shared" si="33"/>
        <v>0</v>
      </c>
      <c r="AN90" s="32" t="s">
        <v>356</v>
      </c>
      <c r="AO90" s="32" t="s">
        <v>362</v>
      </c>
      <c r="AP90" s="26" t="s">
        <v>363</v>
      </c>
    </row>
    <row r="91" spans="1:42">
      <c r="A91" s="6" t="s">
        <v>67</v>
      </c>
      <c r="B91" s="6"/>
      <c r="C91" s="6" t="s">
        <v>163</v>
      </c>
      <c r="D91" s="6" t="s">
        <v>273</v>
      </c>
      <c r="E91" s="6" t="s">
        <v>305</v>
      </c>
      <c r="F91" s="18">
        <v>125</v>
      </c>
      <c r="G91" s="18">
        <v>0</v>
      </c>
      <c r="H91" s="18">
        <f t="shared" si="22"/>
        <v>0</v>
      </c>
      <c r="I91" s="18">
        <f t="shared" si="23"/>
        <v>0</v>
      </c>
      <c r="J91" s="18">
        <f t="shared" si="24"/>
        <v>0</v>
      </c>
      <c r="K91" s="18">
        <v>3.1800000000000001E-3</v>
      </c>
      <c r="L91" s="18">
        <f t="shared" si="25"/>
        <v>0.39750000000000002</v>
      </c>
      <c r="M91" s="28" t="s">
        <v>326</v>
      </c>
      <c r="N91" s="18">
        <f t="shared" si="26"/>
        <v>0</v>
      </c>
      <c r="Y91" s="18">
        <f t="shared" si="27"/>
        <v>0</v>
      </c>
      <c r="Z91" s="18">
        <f t="shared" si="28"/>
        <v>0</v>
      </c>
      <c r="AA91" s="18">
        <f t="shared" si="29"/>
        <v>0</v>
      </c>
      <c r="AC91" s="31">
        <v>21</v>
      </c>
      <c r="AD91" s="31">
        <f t="shared" si="30"/>
        <v>0</v>
      </c>
      <c r="AE91" s="31">
        <f t="shared" si="31"/>
        <v>0</v>
      </c>
      <c r="AL91" s="31">
        <f t="shared" si="32"/>
        <v>0</v>
      </c>
      <c r="AM91" s="31">
        <f t="shared" si="33"/>
        <v>0</v>
      </c>
      <c r="AN91" s="32" t="s">
        <v>356</v>
      </c>
      <c r="AO91" s="32" t="s">
        <v>362</v>
      </c>
      <c r="AP91" s="26" t="s">
        <v>363</v>
      </c>
    </row>
    <row r="92" spans="1:42">
      <c r="A92" s="6" t="s">
        <v>68</v>
      </c>
      <c r="B92" s="6"/>
      <c r="C92" s="6" t="s">
        <v>164</v>
      </c>
      <c r="D92" s="6" t="s">
        <v>274</v>
      </c>
      <c r="E92" s="6" t="s">
        <v>308</v>
      </c>
      <c r="F92" s="18">
        <v>4</v>
      </c>
      <c r="G92" s="18">
        <v>0</v>
      </c>
      <c r="H92" s="18">
        <f t="shared" si="22"/>
        <v>0</v>
      </c>
      <c r="I92" s="18">
        <f t="shared" si="23"/>
        <v>0</v>
      </c>
      <c r="J92" s="18">
        <f t="shared" si="24"/>
        <v>0</v>
      </c>
      <c r="K92" s="18">
        <v>3.8000000000000002E-4</v>
      </c>
      <c r="L92" s="18">
        <f t="shared" si="25"/>
        <v>1.5200000000000001E-3</v>
      </c>
      <c r="M92" s="28" t="s">
        <v>326</v>
      </c>
      <c r="N92" s="18">
        <f t="shared" si="26"/>
        <v>0</v>
      </c>
      <c r="Y92" s="18">
        <f t="shared" si="27"/>
        <v>0</v>
      </c>
      <c r="Z92" s="18">
        <f t="shared" si="28"/>
        <v>0</v>
      </c>
      <c r="AA92" s="18">
        <f t="shared" si="29"/>
        <v>0</v>
      </c>
      <c r="AC92" s="31">
        <v>21</v>
      </c>
      <c r="AD92" s="31">
        <f t="shared" si="30"/>
        <v>0</v>
      </c>
      <c r="AE92" s="31">
        <f t="shared" si="31"/>
        <v>0</v>
      </c>
      <c r="AL92" s="31">
        <f t="shared" si="32"/>
        <v>0</v>
      </c>
      <c r="AM92" s="31">
        <f t="shared" si="33"/>
        <v>0</v>
      </c>
      <c r="AN92" s="32" t="s">
        <v>356</v>
      </c>
      <c r="AO92" s="32" t="s">
        <v>362</v>
      </c>
      <c r="AP92" s="26" t="s">
        <v>363</v>
      </c>
    </row>
    <row r="93" spans="1:42">
      <c r="A93" s="6" t="s">
        <v>69</v>
      </c>
      <c r="B93" s="6"/>
      <c r="C93" s="6" t="s">
        <v>165</v>
      </c>
      <c r="D93" s="6" t="s">
        <v>275</v>
      </c>
      <c r="E93" s="6" t="s">
        <v>308</v>
      </c>
      <c r="F93" s="18">
        <v>2</v>
      </c>
      <c r="G93" s="18">
        <v>0</v>
      </c>
      <c r="H93" s="18">
        <f t="shared" si="22"/>
        <v>0</v>
      </c>
      <c r="I93" s="18">
        <f t="shared" si="23"/>
        <v>0</v>
      </c>
      <c r="J93" s="18">
        <f t="shared" si="24"/>
        <v>0</v>
      </c>
      <c r="K93" s="18">
        <v>5.5999999999999995E-4</v>
      </c>
      <c r="L93" s="18">
        <f t="shared" si="25"/>
        <v>1.1199999999999999E-3</v>
      </c>
      <c r="M93" s="28" t="s">
        <v>326</v>
      </c>
      <c r="N93" s="18">
        <f t="shared" si="26"/>
        <v>0</v>
      </c>
      <c r="Y93" s="18">
        <f t="shared" si="27"/>
        <v>0</v>
      </c>
      <c r="Z93" s="18">
        <f t="shared" si="28"/>
        <v>0</v>
      </c>
      <c r="AA93" s="18">
        <f t="shared" si="29"/>
        <v>0</v>
      </c>
      <c r="AC93" s="31">
        <v>21</v>
      </c>
      <c r="AD93" s="31">
        <f t="shared" si="30"/>
        <v>0</v>
      </c>
      <c r="AE93" s="31">
        <f t="shared" si="31"/>
        <v>0</v>
      </c>
      <c r="AL93" s="31">
        <f t="shared" si="32"/>
        <v>0</v>
      </c>
      <c r="AM93" s="31">
        <f t="shared" si="33"/>
        <v>0</v>
      </c>
      <c r="AN93" s="32" t="s">
        <v>356</v>
      </c>
      <c r="AO93" s="32" t="s">
        <v>362</v>
      </c>
      <c r="AP93" s="26" t="s">
        <v>363</v>
      </c>
    </row>
    <row r="94" spans="1:42">
      <c r="A94" s="6" t="s">
        <v>70</v>
      </c>
      <c r="B94" s="6"/>
      <c r="C94" s="6" t="s">
        <v>166</v>
      </c>
      <c r="D94" s="6" t="s">
        <v>276</v>
      </c>
      <c r="E94" s="6" t="s">
        <v>308</v>
      </c>
      <c r="F94" s="18">
        <v>65</v>
      </c>
      <c r="G94" s="18">
        <v>0</v>
      </c>
      <c r="H94" s="18">
        <f t="shared" si="22"/>
        <v>0</v>
      </c>
      <c r="I94" s="18">
        <f t="shared" si="23"/>
        <v>0</v>
      </c>
      <c r="J94" s="18">
        <f t="shared" si="24"/>
        <v>0</v>
      </c>
      <c r="K94" s="18">
        <v>9.9519999999999997E-2</v>
      </c>
      <c r="L94" s="18">
        <f t="shared" si="25"/>
        <v>6.4687999999999999</v>
      </c>
      <c r="M94" s="28" t="s">
        <v>326</v>
      </c>
      <c r="N94" s="18">
        <f t="shared" si="26"/>
        <v>0</v>
      </c>
      <c r="Y94" s="18">
        <f t="shared" si="27"/>
        <v>0</v>
      </c>
      <c r="Z94" s="18">
        <f t="shared" si="28"/>
        <v>0</v>
      </c>
      <c r="AA94" s="18">
        <f t="shared" si="29"/>
        <v>0</v>
      </c>
      <c r="AC94" s="31">
        <v>21</v>
      </c>
      <c r="AD94" s="31">
        <f t="shared" si="30"/>
        <v>0</v>
      </c>
      <c r="AE94" s="31">
        <f t="shared" si="31"/>
        <v>0</v>
      </c>
      <c r="AL94" s="31">
        <f t="shared" si="32"/>
        <v>0</v>
      </c>
      <c r="AM94" s="31">
        <f t="shared" si="33"/>
        <v>0</v>
      </c>
      <c r="AN94" s="32" t="s">
        <v>356</v>
      </c>
      <c r="AO94" s="32" t="s">
        <v>362</v>
      </c>
      <c r="AP94" s="26" t="s">
        <v>363</v>
      </c>
    </row>
    <row r="95" spans="1:42">
      <c r="A95" s="6" t="s">
        <v>71</v>
      </c>
      <c r="B95" s="6"/>
      <c r="C95" s="6" t="s">
        <v>167</v>
      </c>
      <c r="D95" s="6" t="s">
        <v>277</v>
      </c>
      <c r="E95" s="6" t="s">
        <v>308</v>
      </c>
      <c r="F95" s="18">
        <v>2</v>
      </c>
      <c r="G95" s="18">
        <v>0</v>
      </c>
      <c r="H95" s="18">
        <f t="shared" si="22"/>
        <v>0</v>
      </c>
      <c r="I95" s="18">
        <f t="shared" si="23"/>
        <v>0</v>
      </c>
      <c r="J95" s="18">
        <f t="shared" si="24"/>
        <v>0</v>
      </c>
      <c r="K95" s="18">
        <v>3.2000000000000001E-2</v>
      </c>
      <c r="L95" s="18">
        <f t="shared" si="25"/>
        <v>6.4000000000000001E-2</v>
      </c>
      <c r="M95" s="28" t="s">
        <v>326</v>
      </c>
      <c r="N95" s="18">
        <f t="shared" si="26"/>
        <v>0</v>
      </c>
      <c r="Y95" s="18">
        <f t="shared" si="27"/>
        <v>0</v>
      </c>
      <c r="Z95" s="18">
        <f t="shared" si="28"/>
        <v>0</v>
      </c>
      <c r="AA95" s="18">
        <f t="shared" si="29"/>
        <v>0</v>
      </c>
      <c r="AC95" s="31">
        <v>21</v>
      </c>
      <c r="AD95" s="31">
        <f t="shared" si="30"/>
        <v>0</v>
      </c>
      <c r="AE95" s="31">
        <f t="shared" si="31"/>
        <v>0</v>
      </c>
      <c r="AL95" s="31">
        <f t="shared" si="32"/>
        <v>0</v>
      </c>
      <c r="AM95" s="31">
        <f t="shared" si="33"/>
        <v>0</v>
      </c>
      <c r="AN95" s="32" t="s">
        <v>356</v>
      </c>
      <c r="AO95" s="32" t="s">
        <v>362</v>
      </c>
      <c r="AP95" s="26" t="s">
        <v>363</v>
      </c>
    </row>
    <row r="96" spans="1:42">
      <c r="A96" s="6" t="s">
        <v>72</v>
      </c>
      <c r="B96" s="6"/>
      <c r="C96" s="6" t="s">
        <v>168</v>
      </c>
      <c r="D96" s="6" t="s">
        <v>278</v>
      </c>
      <c r="E96" s="6" t="s">
        <v>308</v>
      </c>
      <c r="F96" s="18">
        <v>6</v>
      </c>
      <c r="G96" s="18">
        <v>0</v>
      </c>
      <c r="H96" s="18">
        <f t="shared" si="22"/>
        <v>0</v>
      </c>
      <c r="I96" s="18">
        <f t="shared" si="23"/>
        <v>0</v>
      </c>
      <c r="J96" s="18">
        <f t="shared" si="24"/>
        <v>0</v>
      </c>
      <c r="K96" s="18">
        <v>1.1299999999999999E-2</v>
      </c>
      <c r="L96" s="18">
        <f t="shared" si="25"/>
        <v>6.7799999999999999E-2</v>
      </c>
      <c r="M96" s="28" t="s">
        <v>326</v>
      </c>
      <c r="N96" s="18">
        <f t="shared" si="26"/>
        <v>0</v>
      </c>
      <c r="Y96" s="18">
        <f t="shared" si="27"/>
        <v>0</v>
      </c>
      <c r="Z96" s="18">
        <f t="shared" si="28"/>
        <v>0</v>
      </c>
      <c r="AA96" s="18">
        <f t="shared" si="29"/>
        <v>0</v>
      </c>
      <c r="AC96" s="31">
        <v>21</v>
      </c>
      <c r="AD96" s="31">
        <f t="shared" si="30"/>
        <v>0</v>
      </c>
      <c r="AE96" s="31">
        <f t="shared" si="31"/>
        <v>0</v>
      </c>
      <c r="AL96" s="31">
        <f t="shared" si="32"/>
        <v>0</v>
      </c>
      <c r="AM96" s="31">
        <f t="shared" si="33"/>
        <v>0</v>
      </c>
      <c r="AN96" s="32" t="s">
        <v>356</v>
      </c>
      <c r="AO96" s="32" t="s">
        <v>362</v>
      </c>
      <c r="AP96" s="26" t="s">
        <v>363</v>
      </c>
    </row>
    <row r="97" spans="1:42">
      <c r="A97" s="6" t="s">
        <v>73</v>
      </c>
      <c r="B97" s="6"/>
      <c r="C97" s="6" t="s">
        <v>169</v>
      </c>
      <c r="D97" s="6" t="s">
        <v>279</v>
      </c>
      <c r="E97" s="6" t="s">
        <v>308</v>
      </c>
      <c r="F97" s="18">
        <v>6</v>
      </c>
      <c r="G97" s="18">
        <v>0</v>
      </c>
      <c r="H97" s="18">
        <f t="shared" si="22"/>
        <v>0</v>
      </c>
      <c r="I97" s="18">
        <f t="shared" si="23"/>
        <v>0</v>
      </c>
      <c r="J97" s="18">
        <f t="shared" si="24"/>
        <v>0</v>
      </c>
      <c r="K97" s="18">
        <v>7.3000000000000001E-3</v>
      </c>
      <c r="L97" s="18">
        <f t="shared" si="25"/>
        <v>4.3799999999999999E-2</v>
      </c>
      <c r="M97" s="28" t="s">
        <v>326</v>
      </c>
      <c r="N97" s="18">
        <f t="shared" si="26"/>
        <v>0</v>
      </c>
      <c r="Y97" s="18">
        <f t="shared" si="27"/>
        <v>0</v>
      </c>
      <c r="Z97" s="18">
        <f t="shared" si="28"/>
        <v>0</v>
      </c>
      <c r="AA97" s="18">
        <f t="shared" si="29"/>
        <v>0</v>
      </c>
      <c r="AC97" s="31">
        <v>21</v>
      </c>
      <c r="AD97" s="31">
        <f t="shared" si="30"/>
        <v>0</v>
      </c>
      <c r="AE97" s="31">
        <f t="shared" si="31"/>
        <v>0</v>
      </c>
      <c r="AL97" s="31">
        <f t="shared" si="32"/>
        <v>0</v>
      </c>
      <c r="AM97" s="31">
        <f t="shared" si="33"/>
        <v>0</v>
      </c>
      <c r="AN97" s="32" t="s">
        <v>356</v>
      </c>
      <c r="AO97" s="32" t="s">
        <v>362</v>
      </c>
      <c r="AP97" s="26" t="s">
        <v>363</v>
      </c>
    </row>
    <row r="98" spans="1:42">
      <c r="A98" s="6" t="s">
        <v>74</v>
      </c>
      <c r="B98" s="6"/>
      <c r="C98" s="6" t="s">
        <v>170</v>
      </c>
      <c r="D98" s="6" t="s">
        <v>280</v>
      </c>
      <c r="E98" s="6" t="s">
        <v>308</v>
      </c>
      <c r="F98" s="18">
        <v>2</v>
      </c>
      <c r="G98" s="18">
        <v>0</v>
      </c>
      <c r="H98" s="18">
        <f t="shared" si="22"/>
        <v>0</v>
      </c>
      <c r="I98" s="18">
        <f t="shared" si="23"/>
        <v>0</v>
      </c>
      <c r="J98" s="18">
        <f t="shared" si="24"/>
        <v>0</v>
      </c>
      <c r="K98" s="18">
        <v>6.8000000000000005E-2</v>
      </c>
      <c r="L98" s="18">
        <f t="shared" si="25"/>
        <v>0.13600000000000001</v>
      </c>
      <c r="M98" s="28" t="s">
        <v>326</v>
      </c>
      <c r="N98" s="18">
        <f t="shared" si="26"/>
        <v>0</v>
      </c>
      <c r="Y98" s="18">
        <f t="shared" si="27"/>
        <v>0</v>
      </c>
      <c r="Z98" s="18">
        <f t="shared" si="28"/>
        <v>0</v>
      </c>
      <c r="AA98" s="18">
        <f t="shared" si="29"/>
        <v>0</v>
      </c>
      <c r="AC98" s="31">
        <v>21</v>
      </c>
      <c r="AD98" s="31">
        <f t="shared" si="30"/>
        <v>0</v>
      </c>
      <c r="AE98" s="31">
        <f t="shared" si="31"/>
        <v>0</v>
      </c>
      <c r="AL98" s="31">
        <f t="shared" si="32"/>
        <v>0</v>
      </c>
      <c r="AM98" s="31">
        <f t="shared" si="33"/>
        <v>0</v>
      </c>
      <c r="AN98" s="32" t="s">
        <v>356</v>
      </c>
      <c r="AO98" s="32" t="s">
        <v>362</v>
      </c>
      <c r="AP98" s="26" t="s">
        <v>363</v>
      </c>
    </row>
    <row r="99" spans="1:42">
      <c r="A99" s="6" t="s">
        <v>75</v>
      </c>
      <c r="B99" s="6"/>
      <c r="C99" s="6" t="s">
        <v>164</v>
      </c>
      <c r="D99" s="6" t="s">
        <v>274</v>
      </c>
      <c r="E99" s="6" t="s">
        <v>308</v>
      </c>
      <c r="F99" s="18">
        <v>6</v>
      </c>
      <c r="G99" s="18">
        <v>0</v>
      </c>
      <c r="H99" s="18">
        <f t="shared" si="22"/>
        <v>0</v>
      </c>
      <c r="I99" s="18">
        <f t="shared" si="23"/>
        <v>0</v>
      </c>
      <c r="J99" s="18">
        <f t="shared" si="24"/>
        <v>0</v>
      </c>
      <c r="K99" s="18">
        <v>3.8000000000000002E-4</v>
      </c>
      <c r="L99" s="18">
        <f t="shared" si="25"/>
        <v>2.2799999999999999E-3</v>
      </c>
      <c r="M99" s="28" t="s">
        <v>326</v>
      </c>
      <c r="N99" s="18">
        <f t="shared" si="26"/>
        <v>0</v>
      </c>
      <c r="Y99" s="18">
        <f t="shared" si="27"/>
        <v>0</v>
      </c>
      <c r="Z99" s="18">
        <f t="shared" si="28"/>
        <v>0</v>
      </c>
      <c r="AA99" s="18">
        <f t="shared" si="29"/>
        <v>0</v>
      </c>
      <c r="AC99" s="31">
        <v>21</v>
      </c>
      <c r="AD99" s="31">
        <f t="shared" si="30"/>
        <v>0</v>
      </c>
      <c r="AE99" s="31">
        <f t="shared" si="31"/>
        <v>0</v>
      </c>
      <c r="AL99" s="31">
        <f t="shared" si="32"/>
        <v>0</v>
      </c>
      <c r="AM99" s="31">
        <f t="shared" si="33"/>
        <v>0</v>
      </c>
      <c r="AN99" s="32" t="s">
        <v>356</v>
      </c>
      <c r="AO99" s="32" t="s">
        <v>362</v>
      </c>
      <c r="AP99" s="26" t="s">
        <v>363</v>
      </c>
    </row>
    <row r="100" spans="1:42">
      <c r="A100" s="6" t="s">
        <v>76</v>
      </c>
      <c r="B100" s="6"/>
      <c r="C100" s="6" t="s">
        <v>171</v>
      </c>
      <c r="D100" s="6" t="s">
        <v>281</v>
      </c>
      <c r="E100" s="6" t="s">
        <v>308</v>
      </c>
      <c r="F100" s="18">
        <v>2</v>
      </c>
      <c r="G100" s="18">
        <v>0</v>
      </c>
      <c r="H100" s="18">
        <f t="shared" si="22"/>
        <v>0</v>
      </c>
      <c r="I100" s="18">
        <f t="shared" si="23"/>
        <v>0</v>
      </c>
      <c r="J100" s="18">
        <f t="shared" si="24"/>
        <v>0</v>
      </c>
      <c r="K100" s="18">
        <v>1.7999999999999999E-2</v>
      </c>
      <c r="L100" s="18">
        <f t="shared" si="25"/>
        <v>3.5999999999999997E-2</v>
      </c>
      <c r="M100" s="28" t="s">
        <v>326</v>
      </c>
      <c r="N100" s="18">
        <f t="shared" si="26"/>
        <v>0</v>
      </c>
      <c r="Y100" s="18">
        <f t="shared" si="27"/>
        <v>0</v>
      </c>
      <c r="Z100" s="18">
        <f t="shared" si="28"/>
        <v>0</v>
      </c>
      <c r="AA100" s="18">
        <f t="shared" si="29"/>
        <v>0</v>
      </c>
      <c r="AC100" s="31">
        <v>21</v>
      </c>
      <c r="AD100" s="31">
        <f t="shared" si="30"/>
        <v>0</v>
      </c>
      <c r="AE100" s="31">
        <f t="shared" si="31"/>
        <v>0</v>
      </c>
      <c r="AL100" s="31">
        <f t="shared" si="32"/>
        <v>0</v>
      </c>
      <c r="AM100" s="31">
        <f t="shared" si="33"/>
        <v>0</v>
      </c>
      <c r="AN100" s="32" t="s">
        <v>356</v>
      </c>
      <c r="AO100" s="32" t="s">
        <v>362</v>
      </c>
      <c r="AP100" s="26" t="s">
        <v>363</v>
      </c>
    </row>
    <row r="101" spans="1:42">
      <c r="A101" s="6" t="s">
        <v>77</v>
      </c>
      <c r="B101" s="6"/>
      <c r="C101" s="6" t="s">
        <v>172</v>
      </c>
      <c r="D101" s="6" t="s">
        <v>282</v>
      </c>
      <c r="E101" s="6" t="s">
        <v>308</v>
      </c>
      <c r="F101" s="18">
        <v>4</v>
      </c>
      <c r="G101" s="18">
        <v>0</v>
      </c>
      <c r="H101" s="18">
        <f t="shared" si="22"/>
        <v>0</v>
      </c>
      <c r="I101" s="18">
        <f t="shared" si="23"/>
        <v>0</v>
      </c>
      <c r="J101" s="18">
        <f t="shared" si="24"/>
        <v>0</v>
      </c>
      <c r="K101" s="18">
        <v>2.8000000000000001E-2</v>
      </c>
      <c r="L101" s="18">
        <f t="shared" si="25"/>
        <v>0.112</v>
      </c>
      <c r="M101" s="28" t="s">
        <v>326</v>
      </c>
      <c r="N101" s="18">
        <f t="shared" si="26"/>
        <v>0</v>
      </c>
      <c r="Y101" s="18">
        <f t="shared" si="27"/>
        <v>0</v>
      </c>
      <c r="Z101" s="18">
        <f t="shared" si="28"/>
        <v>0</v>
      </c>
      <c r="AA101" s="18">
        <f t="shared" si="29"/>
        <v>0</v>
      </c>
      <c r="AC101" s="31">
        <v>21</v>
      </c>
      <c r="AD101" s="31">
        <f t="shared" si="30"/>
        <v>0</v>
      </c>
      <c r="AE101" s="31">
        <f t="shared" si="31"/>
        <v>0</v>
      </c>
      <c r="AL101" s="31">
        <f t="shared" si="32"/>
        <v>0</v>
      </c>
      <c r="AM101" s="31">
        <f t="shared" si="33"/>
        <v>0</v>
      </c>
      <c r="AN101" s="32" t="s">
        <v>356</v>
      </c>
      <c r="AO101" s="32" t="s">
        <v>362</v>
      </c>
      <c r="AP101" s="26" t="s">
        <v>363</v>
      </c>
    </row>
    <row r="102" spans="1:42">
      <c r="A102" s="6" t="s">
        <v>78</v>
      </c>
      <c r="B102" s="6"/>
      <c r="C102" s="6" t="s">
        <v>173</v>
      </c>
      <c r="D102" s="6" t="s">
        <v>283</v>
      </c>
      <c r="E102" s="6" t="s">
        <v>308</v>
      </c>
      <c r="F102" s="18">
        <v>6</v>
      </c>
      <c r="G102" s="18">
        <v>0</v>
      </c>
      <c r="H102" s="18">
        <f t="shared" si="22"/>
        <v>0</v>
      </c>
      <c r="I102" s="18">
        <f t="shared" si="23"/>
        <v>0</v>
      </c>
      <c r="J102" s="18">
        <f t="shared" si="24"/>
        <v>0</v>
      </c>
      <c r="K102" s="18">
        <v>8.9999999999999998E-4</v>
      </c>
      <c r="L102" s="18">
        <f t="shared" si="25"/>
        <v>5.4000000000000003E-3</v>
      </c>
      <c r="M102" s="28" t="s">
        <v>326</v>
      </c>
      <c r="N102" s="18">
        <f t="shared" si="26"/>
        <v>0</v>
      </c>
      <c r="Y102" s="18">
        <f t="shared" si="27"/>
        <v>0</v>
      </c>
      <c r="Z102" s="18">
        <f t="shared" si="28"/>
        <v>0</v>
      </c>
      <c r="AA102" s="18">
        <f t="shared" si="29"/>
        <v>0</v>
      </c>
      <c r="AC102" s="31">
        <v>21</v>
      </c>
      <c r="AD102" s="31">
        <f t="shared" si="30"/>
        <v>0</v>
      </c>
      <c r="AE102" s="31">
        <f t="shared" si="31"/>
        <v>0</v>
      </c>
      <c r="AL102" s="31">
        <f t="shared" si="32"/>
        <v>0</v>
      </c>
      <c r="AM102" s="31">
        <f t="shared" si="33"/>
        <v>0</v>
      </c>
      <c r="AN102" s="32" t="s">
        <v>356</v>
      </c>
      <c r="AO102" s="32" t="s">
        <v>362</v>
      </c>
      <c r="AP102" s="26" t="s">
        <v>363</v>
      </c>
    </row>
    <row r="103" spans="1:42">
      <c r="A103" s="6" t="s">
        <v>79</v>
      </c>
      <c r="B103" s="6"/>
      <c r="C103" s="6" t="s">
        <v>174</v>
      </c>
      <c r="D103" s="6" t="s">
        <v>284</v>
      </c>
      <c r="E103" s="6" t="s">
        <v>308</v>
      </c>
      <c r="F103" s="18">
        <v>11</v>
      </c>
      <c r="G103" s="18">
        <v>0</v>
      </c>
      <c r="H103" s="18">
        <f t="shared" si="22"/>
        <v>0</v>
      </c>
      <c r="I103" s="18">
        <f t="shared" si="23"/>
        <v>0</v>
      </c>
      <c r="J103" s="18">
        <f t="shared" si="24"/>
        <v>0</v>
      </c>
      <c r="K103" s="18">
        <v>0.158</v>
      </c>
      <c r="L103" s="18">
        <f t="shared" si="25"/>
        <v>1.738</v>
      </c>
      <c r="M103" s="28" t="s">
        <v>326</v>
      </c>
      <c r="N103" s="18">
        <f t="shared" si="26"/>
        <v>0</v>
      </c>
      <c r="Y103" s="18">
        <f t="shared" si="27"/>
        <v>0</v>
      </c>
      <c r="Z103" s="18">
        <f t="shared" si="28"/>
        <v>0</v>
      </c>
      <c r="AA103" s="18">
        <f t="shared" si="29"/>
        <v>0</v>
      </c>
      <c r="AC103" s="31">
        <v>21</v>
      </c>
      <c r="AD103" s="31">
        <f t="shared" si="30"/>
        <v>0</v>
      </c>
      <c r="AE103" s="31">
        <f t="shared" si="31"/>
        <v>0</v>
      </c>
      <c r="AL103" s="31">
        <f t="shared" si="32"/>
        <v>0</v>
      </c>
      <c r="AM103" s="31">
        <f t="shared" si="33"/>
        <v>0</v>
      </c>
      <c r="AN103" s="32" t="s">
        <v>356</v>
      </c>
      <c r="AO103" s="32" t="s">
        <v>362</v>
      </c>
      <c r="AP103" s="26" t="s">
        <v>363</v>
      </c>
    </row>
    <row r="104" spans="1:42">
      <c r="A104" s="6" t="s">
        <v>80</v>
      </c>
      <c r="B104" s="6"/>
      <c r="C104" s="6" t="s">
        <v>175</v>
      </c>
      <c r="D104" s="6" t="s">
        <v>285</v>
      </c>
      <c r="E104" s="6" t="s">
        <v>308</v>
      </c>
      <c r="F104" s="18">
        <v>2</v>
      </c>
      <c r="G104" s="18">
        <v>0</v>
      </c>
      <c r="H104" s="18">
        <f t="shared" si="22"/>
        <v>0</v>
      </c>
      <c r="I104" s="18">
        <f t="shared" si="23"/>
        <v>0</v>
      </c>
      <c r="J104" s="18">
        <f t="shared" si="24"/>
        <v>0</v>
      </c>
      <c r="K104" s="18">
        <v>8.9999999999999993E-3</v>
      </c>
      <c r="L104" s="18">
        <f t="shared" si="25"/>
        <v>1.7999999999999999E-2</v>
      </c>
      <c r="M104" s="28" t="s">
        <v>326</v>
      </c>
      <c r="N104" s="18">
        <f t="shared" si="26"/>
        <v>0</v>
      </c>
      <c r="Y104" s="18">
        <f t="shared" si="27"/>
        <v>0</v>
      </c>
      <c r="Z104" s="18">
        <f t="shared" si="28"/>
        <v>0</v>
      </c>
      <c r="AA104" s="18">
        <f t="shared" si="29"/>
        <v>0</v>
      </c>
      <c r="AC104" s="31">
        <v>21</v>
      </c>
      <c r="AD104" s="31">
        <f t="shared" si="30"/>
        <v>0</v>
      </c>
      <c r="AE104" s="31">
        <f t="shared" si="31"/>
        <v>0</v>
      </c>
      <c r="AL104" s="31">
        <f t="shared" si="32"/>
        <v>0</v>
      </c>
      <c r="AM104" s="31">
        <f t="shared" si="33"/>
        <v>0</v>
      </c>
      <c r="AN104" s="32" t="s">
        <v>356</v>
      </c>
      <c r="AO104" s="32" t="s">
        <v>362</v>
      </c>
      <c r="AP104" s="26" t="s">
        <v>363</v>
      </c>
    </row>
    <row r="105" spans="1:42">
      <c r="A105" s="6" t="s">
        <v>81</v>
      </c>
      <c r="B105" s="6"/>
      <c r="C105" s="6" t="s">
        <v>176</v>
      </c>
      <c r="D105" s="6" t="s">
        <v>286</v>
      </c>
      <c r="E105" s="6" t="s">
        <v>308</v>
      </c>
      <c r="F105" s="18">
        <v>3</v>
      </c>
      <c r="G105" s="18">
        <v>0</v>
      </c>
      <c r="H105" s="18">
        <f t="shared" si="22"/>
        <v>0</v>
      </c>
      <c r="I105" s="18">
        <f t="shared" si="23"/>
        <v>0</v>
      </c>
      <c r="J105" s="18">
        <f t="shared" si="24"/>
        <v>0</v>
      </c>
      <c r="K105" s="18">
        <v>1.9699999999999999E-2</v>
      </c>
      <c r="L105" s="18">
        <f t="shared" si="25"/>
        <v>5.91E-2</v>
      </c>
      <c r="M105" s="28" t="s">
        <v>326</v>
      </c>
      <c r="N105" s="18">
        <f t="shared" si="26"/>
        <v>0</v>
      </c>
      <c r="Y105" s="18">
        <f t="shared" si="27"/>
        <v>0</v>
      </c>
      <c r="Z105" s="18">
        <f t="shared" si="28"/>
        <v>0</v>
      </c>
      <c r="AA105" s="18">
        <f t="shared" si="29"/>
        <v>0</v>
      </c>
      <c r="AC105" s="31">
        <v>21</v>
      </c>
      <c r="AD105" s="31">
        <f t="shared" si="30"/>
        <v>0</v>
      </c>
      <c r="AE105" s="31">
        <f t="shared" si="31"/>
        <v>0</v>
      </c>
      <c r="AL105" s="31">
        <f t="shared" si="32"/>
        <v>0</v>
      </c>
      <c r="AM105" s="31">
        <f t="shared" si="33"/>
        <v>0</v>
      </c>
      <c r="AN105" s="32" t="s">
        <v>356</v>
      </c>
      <c r="AO105" s="32" t="s">
        <v>362</v>
      </c>
      <c r="AP105" s="26" t="s">
        <v>363</v>
      </c>
    </row>
    <row r="106" spans="1:42">
      <c r="A106" s="6" t="s">
        <v>82</v>
      </c>
      <c r="B106" s="6"/>
      <c r="C106" s="6" t="s">
        <v>177</v>
      </c>
      <c r="D106" s="6" t="s">
        <v>287</v>
      </c>
      <c r="E106" s="6" t="s">
        <v>308</v>
      </c>
      <c r="F106" s="18">
        <v>9</v>
      </c>
      <c r="G106" s="18">
        <v>0</v>
      </c>
      <c r="H106" s="18">
        <f t="shared" si="22"/>
        <v>0</v>
      </c>
      <c r="I106" s="18">
        <f t="shared" si="23"/>
        <v>0</v>
      </c>
      <c r="J106" s="18">
        <f t="shared" si="24"/>
        <v>0</v>
      </c>
      <c r="K106" s="18">
        <v>3.2000000000000001E-2</v>
      </c>
      <c r="L106" s="18">
        <f t="shared" si="25"/>
        <v>0.28800000000000003</v>
      </c>
      <c r="M106" s="28" t="s">
        <v>326</v>
      </c>
      <c r="N106" s="18">
        <f t="shared" si="26"/>
        <v>0</v>
      </c>
      <c r="Y106" s="18">
        <f t="shared" si="27"/>
        <v>0</v>
      </c>
      <c r="Z106" s="18">
        <f t="shared" si="28"/>
        <v>0</v>
      </c>
      <c r="AA106" s="18">
        <f t="shared" si="29"/>
        <v>0</v>
      </c>
      <c r="AC106" s="31">
        <v>21</v>
      </c>
      <c r="AD106" s="31">
        <f t="shared" si="30"/>
        <v>0</v>
      </c>
      <c r="AE106" s="31">
        <f t="shared" si="31"/>
        <v>0</v>
      </c>
      <c r="AL106" s="31">
        <f t="shared" si="32"/>
        <v>0</v>
      </c>
      <c r="AM106" s="31">
        <f t="shared" si="33"/>
        <v>0</v>
      </c>
      <c r="AN106" s="32" t="s">
        <v>356</v>
      </c>
      <c r="AO106" s="32" t="s">
        <v>362</v>
      </c>
      <c r="AP106" s="26" t="s">
        <v>363</v>
      </c>
    </row>
    <row r="107" spans="1:42">
      <c r="A107" s="6" t="s">
        <v>83</v>
      </c>
      <c r="B107" s="6"/>
      <c r="C107" s="6" t="s">
        <v>178</v>
      </c>
      <c r="D107" s="6" t="s">
        <v>288</v>
      </c>
      <c r="E107" s="6" t="s">
        <v>308</v>
      </c>
      <c r="F107" s="18">
        <v>3</v>
      </c>
      <c r="G107" s="18">
        <v>0</v>
      </c>
      <c r="H107" s="18">
        <f t="shared" si="22"/>
        <v>0</v>
      </c>
      <c r="I107" s="18">
        <f t="shared" si="23"/>
        <v>0</v>
      </c>
      <c r="J107" s="18">
        <f t="shared" si="24"/>
        <v>0</v>
      </c>
      <c r="K107" s="18">
        <v>4.1000000000000002E-2</v>
      </c>
      <c r="L107" s="18">
        <f t="shared" si="25"/>
        <v>0.123</v>
      </c>
      <c r="M107" s="28" t="s">
        <v>326</v>
      </c>
      <c r="N107" s="18">
        <f t="shared" si="26"/>
        <v>0</v>
      </c>
      <c r="Y107" s="18">
        <f t="shared" si="27"/>
        <v>0</v>
      </c>
      <c r="Z107" s="18">
        <f t="shared" si="28"/>
        <v>0</v>
      </c>
      <c r="AA107" s="18">
        <f t="shared" si="29"/>
        <v>0</v>
      </c>
      <c r="AC107" s="31">
        <v>21</v>
      </c>
      <c r="AD107" s="31">
        <f t="shared" si="30"/>
        <v>0</v>
      </c>
      <c r="AE107" s="31">
        <f t="shared" si="31"/>
        <v>0</v>
      </c>
      <c r="AL107" s="31">
        <f t="shared" si="32"/>
        <v>0</v>
      </c>
      <c r="AM107" s="31">
        <f t="shared" si="33"/>
        <v>0</v>
      </c>
      <c r="AN107" s="32" t="s">
        <v>356</v>
      </c>
      <c r="AO107" s="32" t="s">
        <v>362</v>
      </c>
      <c r="AP107" s="26" t="s">
        <v>363</v>
      </c>
    </row>
    <row r="108" spans="1:42">
      <c r="A108" s="6" t="s">
        <v>84</v>
      </c>
      <c r="B108" s="6"/>
      <c r="C108" s="6" t="s">
        <v>179</v>
      </c>
      <c r="D108" s="6" t="s">
        <v>289</v>
      </c>
      <c r="E108" s="6" t="s">
        <v>308</v>
      </c>
      <c r="F108" s="18">
        <v>4</v>
      </c>
      <c r="G108" s="18">
        <v>0</v>
      </c>
      <c r="H108" s="18">
        <f t="shared" si="22"/>
        <v>0</v>
      </c>
      <c r="I108" s="18">
        <f t="shared" si="23"/>
        <v>0</v>
      </c>
      <c r="J108" s="18">
        <f t="shared" si="24"/>
        <v>0</v>
      </c>
      <c r="K108" s="18">
        <v>5.2999999999999999E-2</v>
      </c>
      <c r="L108" s="18">
        <f t="shared" si="25"/>
        <v>0.21199999999999999</v>
      </c>
      <c r="M108" s="28" t="s">
        <v>326</v>
      </c>
      <c r="N108" s="18">
        <f t="shared" si="26"/>
        <v>0</v>
      </c>
      <c r="Y108" s="18">
        <f t="shared" si="27"/>
        <v>0</v>
      </c>
      <c r="Z108" s="18">
        <f t="shared" si="28"/>
        <v>0</v>
      </c>
      <c r="AA108" s="18">
        <f t="shared" si="29"/>
        <v>0</v>
      </c>
      <c r="AC108" s="31">
        <v>21</v>
      </c>
      <c r="AD108" s="31">
        <f t="shared" si="30"/>
        <v>0</v>
      </c>
      <c r="AE108" s="31">
        <f t="shared" si="31"/>
        <v>0</v>
      </c>
      <c r="AL108" s="31">
        <f t="shared" si="32"/>
        <v>0</v>
      </c>
      <c r="AM108" s="31">
        <f t="shared" si="33"/>
        <v>0</v>
      </c>
      <c r="AN108" s="32" t="s">
        <v>356</v>
      </c>
      <c r="AO108" s="32" t="s">
        <v>362</v>
      </c>
      <c r="AP108" s="26" t="s">
        <v>363</v>
      </c>
    </row>
    <row r="109" spans="1:42">
      <c r="A109" s="6" t="s">
        <v>85</v>
      </c>
      <c r="B109" s="6"/>
      <c r="C109" s="6" t="s">
        <v>180</v>
      </c>
      <c r="D109" s="6" t="s">
        <v>290</v>
      </c>
      <c r="E109" s="6" t="s">
        <v>308</v>
      </c>
      <c r="F109" s="18">
        <v>11</v>
      </c>
      <c r="G109" s="18">
        <v>0</v>
      </c>
      <c r="H109" s="18">
        <f t="shared" si="22"/>
        <v>0</v>
      </c>
      <c r="I109" s="18">
        <f t="shared" si="23"/>
        <v>0</v>
      </c>
      <c r="J109" s="18">
        <f t="shared" si="24"/>
        <v>0</v>
      </c>
      <c r="K109" s="18">
        <v>1.6140000000000001</v>
      </c>
      <c r="L109" s="18">
        <f t="shared" si="25"/>
        <v>17.754000000000001</v>
      </c>
      <c r="M109" s="28" t="s">
        <v>326</v>
      </c>
      <c r="N109" s="18">
        <f t="shared" si="26"/>
        <v>0</v>
      </c>
      <c r="Y109" s="18">
        <f t="shared" si="27"/>
        <v>0</v>
      </c>
      <c r="Z109" s="18">
        <f t="shared" si="28"/>
        <v>0</v>
      </c>
      <c r="AA109" s="18">
        <f t="shared" si="29"/>
        <v>0</v>
      </c>
      <c r="AC109" s="31">
        <v>21</v>
      </c>
      <c r="AD109" s="31">
        <f t="shared" si="30"/>
        <v>0</v>
      </c>
      <c r="AE109" s="31">
        <f t="shared" si="31"/>
        <v>0</v>
      </c>
      <c r="AL109" s="31">
        <f t="shared" si="32"/>
        <v>0</v>
      </c>
      <c r="AM109" s="31">
        <f t="shared" si="33"/>
        <v>0</v>
      </c>
      <c r="AN109" s="32" t="s">
        <v>356</v>
      </c>
      <c r="AO109" s="32" t="s">
        <v>362</v>
      </c>
      <c r="AP109" s="26" t="s">
        <v>363</v>
      </c>
    </row>
    <row r="110" spans="1:42">
      <c r="A110" s="6" t="s">
        <v>86</v>
      </c>
      <c r="B110" s="6"/>
      <c r="C110" s="6" t="s">
        <v>181</v>
      </c>
      <c r="D110" s="6" t="s">
        <v>291</v>
      </c>
      <c r="E110" s="6" t="s">
        <v>308</v>
      </c>
      <c r="F110" s="18">
        <v>6</v>
      </c>
      <c r="G110" s="18">
        <v>0</v>
      </c>
      <c r="H110" s="18">
        <f t="shared" si="22"/>
        <v>0</v>
      </c>
      <c r="I110" s="18">
        <f t="shared" si="23"/>
        <v>0</v>
      </c>
      <c r="J110" s="18">
        <f t="shared" si="24"/>
        <v>0</v>
      </c>
      <c r="K110" s="18">
        <v>0.25</v>
      </c>
      <c r="L110" s="18">
        <f t="shared" si="25"/>
        <v>1.5</v>
      </c>
      <c r="M110" s="28" t="s">
        <v>326</v>
      </c>
      <c r="N110" s="18">
        <f t="shared" si="26"/>
        <v>0</v>
      </c>
      <c r="Y110" s="18">
        <f t="shared" si="27"/>
        <v>0</v>
      </c>
      <c r="Z110" s="18">
        <f t="shared" si="28"/>
        <v>0</v>
      </c>
      <c r="AA110" s="18">
        <f t="shared" si="29"/>
        <v>0</v>
      </c>
      <c r="AC110" s="31">
        <v>21</v>
      </c>
      <c r="AD110" s="31">
        <f t="shared" si="30"/>
        <v>0</v>
      </c>
      <c r="AE110" s="31">
        <f t="shared" si="31"/>
        <v>0</v>
      </c>
      <c r="AL110" s="31">
        <f t="shared" si="32"/>
        <v>0</v>
      </c>
      <c r="AM110" s="31">
        <f t="shared" si="33"/>
        <v>0</v>
      </c>
      <c r="AN110" s="32" t="s">
        <v>356</v>
      </c>
      <c r="AO110" s="32" t="s">
        <v>362</v>
      </c>
      <c r="AP110" s="26" t="s">
        <v>363</v>
      </c>
    </row>
    <row r="111" spans="1:42">
      <c r="A111" s="6" t="s">
        <v>87</v>
      </c>
      <c r="B111" s="6"/>
      <c r="C111" s="6" t="s">
        <v>182</v>
      </c>
      <c r="D111" s="6" t="s">
        <v>292</v>
      </c>
      <c r="E111" s="6" t="s">
        <v>308</v>
      </c>
      <c r="F111" s="18">
        <v>4</v>
      </c>
      <c r="G111" s="18">
        <v>0</v>
      </c>
      <c r="H111" s="18">
        <f t="shared" si="22"/>
        <v>0</v>
      </c>
      <c r="I111" s="18">
        <f t="shared" si="23"/>
        <v>0</v>
      </c>
      <c r="J111" s="18">
        <f t="shared" si="24"/>
        <v>0</v>
      </c>
      <c r="K111" s="18">
        <v>0.52</v>
      </c>
      <c r="L111" s="18">
        <f t="shared" si="25"/>
        <v>2.08</v>
      </c>
      <c r="M111" s="28" t="s">
        <v>326</v>
      </c>
      <c r="N111" s="18">
        <f t="shared" si="26"/>
        <v>0</v>
      </c>
      <c r="Y111" s="18">
        <f t="shared" si="27"/>
        <v>0</v>
      </c>
      <c r="Z111" s="18">
        <f t="shared" si="28"/>
        <v>0</v>
      </c>
      <c r="AA111" s="18">
        <f t="shared" si="29"/>
        <v>0</v>
      </c>
      <c r="AC111" s="31">
        <v>21</v>
      </c>
      <c r="AD111" s="31">
        <f t="shared" si="30"/>
        <v>0</v>
      </c>
      <c r="AE111" s="31">
        <f t="shared" si="31"/>
        <v>0</v>
      </c>
      <c r="AL111" s="31">
        <f t="shared" si="32"/>
        <v>0</v>
      </c>
      <c r="AM111" s="31">
        <f t="shared" si="33"/>
        <v>0</v>
      </c>
      <c r="AN111" s="32" t="s">
        <v>356</v>
      </c>
      <c r="AO111" s="32" t="s">
        <v>362</v>
      </c>
      <c r="AP111" s="26" t="s">
        <v>363</v>
      </c>
    </row>
    <row r="112" spans="1:42">
      <c r="A112" s="6" t="s">
        <v>88</v>
      </c>
      <c r="B112" s="6"/>
      <c r="C112" s="6" t="s">
        <v>183</v>
      </c>
      <c r="D112" s="6" t="s">
        <v>293</v>
      </c>
      <c r="E112" s="6" t="s">
        <v>308</v>
      </c>
      <c r="F112" s="18">
        <v>3</v>
      </c>
      <c r="G112" s="18">
        <v>0</v>
      </c>
      <c r="H112" s="18">
        <f t="shared" si="22"/>
        <v>0</v>
      </c>
      <c r="I112" s="18">
        <f t="shared" si="23"/>
        <v>0</v>
      </c>
      <c r="J112" s="18">
        <f t="shared" si="24"/>
        <v>0</v>
      </c>
      <c r="K112" s="18">
        <v>1.0349999999999999</v>
      </c>
      <c r="L112" s="18">
        <f t="shared" si="25"/>
        <v>3.1049999999999995</v>
      </c>
      <c r="M112" s="28" t="s">
        <v>326</v>
      </c>
      <c r="N112" s="18">
        <f t="shared" si="26"/>
        <v>0</v>
      </c>
      <c r="Y112" s="18">
        <f t="shared" si="27"/>
        <v>0</v>
      </c>
      <c r="Z112" s="18">
        <f t="shared" si="28"/>
        <v>0</v>
      </c>
      <c r="AA112" s="18">
        <f t="shared" si="29"/>
        <v>0</v>
      </c>
      <c r="AC112" s="31">
        <v>21</v>
      </c>
      <c r="AD112" s="31">
        <f t="shared" si="30"/>
        <v>0</v>
      </c>
      <c r="AE112" s="31">
        <f t="shared" si="31"/>
        <v>0</v>
      </c>
      <c r="AL112" s="31">
        <f t="shared" si="32"/>
        <v>0</v>
      </c>
      <c r="AM112" s="31">
        <f t="shared" si="33"/>
        <v>0</v>
      </c>
      <c r="AN112" s="32" t="s">
        <v>356</v>
      </c>
      <c r="AO112" s="32" t="s">
        <v>362</v>
      </c>
      <c r="AP112" s="26" t="s">
        <v>363</v>
      </c>
    </row>
    <row r="113" spans="1:42">
      <c r="A113" s="6" t="s">
        <v>89</v>
      </c>
      <c r="B113" s="6"/>
      <c r="C113" s="6" t="s">
        <v>184</v>
      </c>
      <c r="D113" s="6" t="s">
        <v>294</v>
      </c>
      <c r="E113" s="6" t="s">
        <v>308</v>
      </c>
      <c r="F113" s="18">
        <v>9</v>
      </c>
      <c r="G113" s="18">
        <v>0</v>
      </c>
      <c r="H113" s="18">
        <f t="shared" si="22"/>
        <v>0</v>
      </c>
      <c r="I113" s="18">
        <f t="shared" si="23"/>
        <v>0</v>
      </c>
      <c r="J113" s="18">
        <f t="shared" si="24"/>
        <v>0</v>
      </c>
      <c r="K113" s="18">
        <v>0.432</v>
      </c>
      <c r="L113" s="18">
        <f t="shared" si="25"/>
        <v>3.8879999999999999</v>
      </c>
      <c r="M113" s="28" t="s">
        <v>326</v>
      </c>
      <c r="N113" s="18">
        <f t="shared" si="26"/>
        <v>0</v>
      </c>
      <c r="Y113" s="18">
        <f t="shared" si="27"/>
        <v>0</v>
      </c>
      <c r="Z113" s="18">
        <f t="shared" si="28"/>
        <v>0</v>
      </c>
      <c r="AA113" s="18">
        <f t="shared" si="29"/>
        <v>0</v>
      </c>
      <c r="AC113" s="31">
        <v>21</v>
      </c>
      <c r="AD113" s="31">
        <f t="shared" si="30"/>
        <v>0</v>
      </c>
      <c r="AE113" s="31">
        <f t="shared" si="31"/>
        <v>0</v>
      </c>
      <c r="AL113" s="31">
        <f t="shared" si="32"/>
        <v>0</v>
      </c>
      <c r="AM113" s="31">
        <f t="shared" si="33"/>
        <v>0</v>
      </c>
      <c r="AN113" s="32" t="s">
        <v>356</v>
      </c>
      <c r="AO113" s="32" t="s">
        <v>362</v>
      </c>
      <c r="AP113" s="26" t="s">
        <v>363</v>
      </c>
    </row>
    <row r="114" spans="1:42">
      <c r="A114" s="6" t="s">
        <v>90</v>
      </c>
      <c r="B114" s="6"/>
      <c r="C114" s="6" t="s">
        <v>185</v>
      </c>
      <c r="D114" s="6" t="s">
        <v>295</v>
      </c>
      <c r="E114" s="6" t="s">
        <v>308</v>
      </c>
      <c r="F114" s="18">
        <v>2</v>
      </c>
      <c r="G114" s="18">
        <v>0</v>
      </c>
      <c r="H114" s="18">
        <f t="shared" si="22"/>
        <v>0</v>
      </c>
      <c r="I114" s="18">
        <f t="shared" si="23"/>
        <v>0</v>
      </c>
      <c r="J114" s="18">
        <f t="shared" si="24"/>
        <v>0</v>
      </c>
      <c r="K114" s="18">
        <v>0.29499999999999998</v>
      </c>
      <c r="L114" s="18">
        <f t="shared" si="25"/>
        <v>0.59</v>
      </c>
      <c r="M114" s="28" t="s">
        <v>326</v>
      </c>
      <c r="N114" s="18">
        <f t="shared" si="26"/>
        <v>0</v>
      </c>
      <c r="Y114" s="18">
        <f t="shared" si="27"/>
        <v>0</v>
      </c>
      <c r="Z114" s="18">
        <f t="shared" si="28"/>
        <v>0</v>
      </c>
      <c r="AA114" s="18">
        <f t="shared" si="29"/>
        <v>0</v>
      </c>
      <c r="AC114" s="31">
        <v>21</v>
      </c>
      <c r="AD114" s="31">
        <f t="shared" si="30"/>
        <v>0</v>
      </c>
      <c r="AE114" s="31">
        <f t="shared" si="31"/>
        <v>0</v>
      </c>
      <c r="AL114" s="31">
        <f t="shared" si="32"/>
        <v>0</v>
      </c>
      <c r="AM114" s="31">
        <f t="shared" si="33"/>
        <v>0</v>
      </c>
      <c r="AN114" s="32" t="s">
        <v>356</v>
      </c>
      <c r="AO114" s="32" t="s">
        <v>362</v>
      </c>
      <c r="AP114" s="26" t="s">
        <v>363</v>
      </c>
    </row>
    <row r="115" spans="1:42">
      <c r="A115" s="6" t="s">
        <v>91</v>
      </c>
      <c r="B115" s="6"/>
      <c r="C115" s="6" t="s">
        <v>186</v>
      </c>
      <c r="D115" s="6" t="s">
        <v>296</v>
      </c>
      <c r="E115" s="6" t="s">
        <v>308</v>
      </c>
      <c r="F115" s="18">
        <v>2</v>
      </c>
      <c r="G115" s="18">
        <v>0</v>
      </c>
      <c r="H115" s="18">
        <f t="shared" si="22"/>
        <v>0</v>
      </c>
      <c r="I115" s="18">
        <f t="shared" si="23"/>
        <v>0</v>
      </c>
      <c r="J115" s="18">
        <f t="shared" si="24"/>
        <v>0</v>
      </c>
      <c r="K115" s="18">
        <v>8.0000000000000002E-3</v>
      </c>
      <c r="L115" s="18">
        <f t="shared" si="25"/>
        <v>1.6E-2</v>
      </c>
      <c r="M115" s="28" t="s">
        <v>326</v>
      </c>
      <c r="N115" s="18">
        <f t="shared" si="26"/>
        <v>0</v>
      </c>
      <c r="Y115" s="18">
        <f t="shared" si="27"/>
        <v>0</v>
      </c>
      <c r="Z115" s="18">
        <f t="shared" si="28"/>
        <v>0</v>
      </c>
      <c r="AA115" s="18">
        <f t="shared" si="29"/>
        <v>0</v>
      </c>
      <c r="AC115" s="31">
        <v>21</v>
      </c>
      <c r="AD115" s="31">
        <f t="shared" si="30"/>
        <v>0</v>
      </c>
      <c r="AE115" s="31">
        <f t="shared" si="31"/>
        <v>0</v>
      </c>
      <c r="AL115" s="31">
        <f t="shared" si="32"/>
        <v>0</v>
      </c>
      <c r="AM115" s="31">
        <f t="shared" si="33"/>
        <v>0</v>
      </c>
      <c r="AN115" s="32" t="s">
        <v>356</v>
      </c>
      <c r="AO115" s="32" t="s">
        <v>362</v>
      </c>
      <c r="AP115" s="26" t="s">
        <v>363</v>
      </c>
    </row>
    <row r="116" spans="1:42">
      <c r="A116" s="6" t="s">
        <v>92</v>
      </c>
      <c r="B116" s="6"/>
      <c r="C116" s="6" t="s">
        <v>187</v>
      </c>
      <c r="D116" s="6" t="s">
        <v>297</v>
      </c>
      <c r="E116" s="6" t="s">
        <v>308</v>
      </c>
      <c r="F116" s="18">
        <v>4</v>
      </c>
      <c r="G116" s="18">
        <v>0</v>
      </c>
      <c r="H116" s="18">
        <f t="shared" si="22"/>
        <v>0</v>
      </c>
      <c r="I116" s="18">
        <f t="shared" si="23"/>
        <v>0</v>
      </c>
      <c r="J116" s="18">
        <f t="shared" si="24"/>
        <v>0</v>
      </c>
      <c r="K116" s="18">
        <v>8.0000000000000002E-3</v>
      </c>
      <c r="L116" s="18">
        <f t="shared" si="25"/>
        <v>3.2000000000000001E-2</v>
      </c>
      <c r="M116" s="28" t="s">
        <v>326</v>
      </c>
      <c r="N116" s="18">
        <f t="shared" si="26"/>
        <v>0</v>
      </c>
      <c r="Y116" s="18">
        <f t="shared" si="27"/>
        <v>0</v>
      </c>
      <c r="Z116" s="18">
        <f t="shared" si="28"/>
        <v>0</v>
      </c>
      <c r="AA116" s="18">
        <f t="shared" si="29"/>
        <v>0</v>
      </c>
      <c r="AC116" s="31">
        <v>21</v>
      </c>
      <c r="AD116" s="31">
        <f t="shared" si="30"/>
        <v>0</v>
      </c>
      <c r="AE116" s="31">
        <f t="shared" si="31"/>
        <v>0</v>
      </c>
      <c r="AL116" s="31">
        <f t="shared" si="32"/>
        <v>0</v>
      </c>
      <c r="AM116" s="31">
        <f t="shared" si="33"/>
        <v>0</v>
      </c>
      <c r="AN116" s="32" t="s">
        <v>356</v>
      </c>
      <c r="AO116" s="32" t="s">
        <v>362</v>
      </c>
      <c r="AP116" s="26" t="s">
        <v>363</v>
      </c>
    </row>
    <row r="117" spans="1:42">
      <c r="A117" s="6" t="s">
        <v>93</v>
      </c>
      <c r="B117" s="6"/>
      <c r="C117" s="6" t="s">
        <v>188</v>
      </c>
      <c r="D117" s="6" t="s">
        <v>298</v>
      </c>
      <c r="E117" s="6" t="s">
        <v>310</v>
      </c>
      <c r="F117" s="18">
        <v>50</v>
      </c>
      <c r="G117" s="18">
        <v>0</v>
      </c>
      <c r="H117" s="18">
        <f t="shared" si="22"/>
        <v>0</v>
      </c>
      <c r="I117" s="18">
        <f t="shared" si="23"/>
        <v>0</v>
      </c>
      <c r="J117" s="18">
        <f t="shared" si="24"/>
        <v>0</v>
      </c>
      <c r="K117" s="18">
        <v>1E-3</v>
      </c>
      <c r="L117" s="18">
        <f t="shared" si="25"/>
        <v>0.05</v>
      </c>
      <c r="M117" s="28" t="s">
        <v>326</v>
      </c>
      <c r="N117" s="18">
        <f t="shared" si="26"/>
        <v>0</v>
      </c>
      <c r="Y117" s="18">
        <f t="shared" si="27"/>
        <v>0</v>
      </c>
      <c r="Z117" s="18">
        <f t="shared" si="28"/>
        <v>0</v>
      </c>
      <c r="AA117" s="18">
        <f t="shared" si="29"/>
        <v>0</v>
      </c>
      <c r="AC117" s="31">
        <v>21</v>
      </c>
      <c r="AD117" s="31">
        <f t="shared" si="30"/>
        <v>0</v>
      </c>
      <c r="AE117" s="31">
        <f t="shared" si="31"/>
        <v>0</v>
      </c>
      <c r="AL117" s="31">
        <f t="shared" si="32"/>
        <v>0</v>
      </c>
      <c r="AM117" s="31">
        <f t="shared" si="33"/>
        <v>0</v>
      </c>
      <c r="AN117" s="32" t="s">
        <v>356</v>
      </c>
      <c r="AO117" s="32" t="s">
        <v>362</v>
      </c>
      <c r="AP117" s="26" t="s">
        <v>363</v>
      </c>
    </row>
    <row r="118" spans="1:42">
      <c r="A118" s="7" t="s">
        <v>94</v>
      </c>
      <c r="B118" s="7"/>
      <c r="C118" s="7" t="s">
        <v>189</v>
      </c>
      <c r="D118" s="7" t="s">
        <v>299</v>
      </c>
      <c r="E118" s="7" t="s">
        <v>305</v>
      </c>
      <c r="F118" s="19">
        <v>25</v>
      </c>
      <c r="G118" s="19">
        <v>0</v>
      </c>
      <c r="H118" s="19">
        <f t="shared" si="22"/>
        <v>0</v>
      </c>
      <c r="I118" s="19">
        <f t="shared" si="23"/>
        <v>0</v>
      </c>
      <c r="J118" s="19">
        <f t="shared" si="24"/>
        <v>0</v>
      </c>
      <c r="K118" s="19">
        <v>2.5899999999999999E-2</v>
      </c>
      <c r="L118" s="19">
        <f t="shared" si="25"/>
        <v>0.64749999999999996</v>
      </c>
      <c r="M118" s="28" t="s">
        <v>326</v>
      </c>
      <c r="N118" s="18">
        <f t="shared" si="26"/>
        <v>0</v>
      </c>
      <c r="Y118" s="18">
        <f t="shared" si="27"/>
        <v>0</v>
      </c>
      <c r="Z118" s="18">
        <f t="shared" si="28"/>
        <v>0</v>
      </c>
      <c r="AA118" s="18">
        <f t="shared" si="29"/>
        <v>0</v>
      </c>
      <c r="AC118" s="31">
        <v>21</v>
      </c>
      <c r="AD118" s="31">
        <f t="shared" si="30"/>
        <v>0</v>
      </c>
      <c r="AE118" s="31">
        <f t="shared" si="31"/>
        <v>0</v>
      </c>
      <c r="AL118" s="31">
        <f t="shared" si="32"/>
        <v>0</v>
      </c>
      <c r="AM118" s="31">
        <f t="shared" si="33"/>
        <v>0</v>
      </c>
      <c r="AN118" s="32" t="s">
        <v>356</v>
      </c>
      <c r="AO118" s="32" t="s">
        <v>362</v>
      </c>
      <c r="AP118" s="26" t="s">
        <v>363</v>
      </c>
    </row>
    <row r="119" spans="1:42">
      <c r="A119" s="8"/>
      <c r="B119" s="8"/>
      <c r="C119" s="8"/>
      <c r="D119" s="8"/>
      <c r="E119" s="8"/>
      <c r="F119" s="8"/>
      <c r="G119" s="8"/>
      <c r="H119" s="65" t="s">
        <v>318</v>
      </c>
      <c r="I119" s="66"/>
      <c r="J119" s="35">
        <f>J12+J14+J16+J24+J26+J29+J32+J37+J39+J42+J45+J49+J53+J57+J76+J78+J81+J83+J85</f>
        <v>0</v>
      </c>
      <c r="K119" s="8"/>
      <c r="L119" s="8"/>
      <c r="Y119" s="36">
        <f>SUM(Y13:Y118)</f>
        <v>0</v>
      </c>
      <c r="Z119" s="36">
        <f>SUM(Z13:Z118)</f>
        <v>0</v>
      </c>
      <c r="AA119" s="36">
        <f>SUM(AA13:AA118)</f>
        <v>0</v>
      </c>
    </row>
    <row r="120" spans="1:42" ht="11.25" customHeight="1">
      <c r="A120" s="9" t="s">
        <v>95</v>
      </c>
    </row>
    <row r="121" spans="1:42" ht="409.6" hidden="1" customHeight="1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</sheetData>
  <mergeCells count="48">
    <mergeCell ref="J4:L5"/>
    <mergeCell ref="A1:L1"/>
    <mergeCell ref="A2:C3"/>
    <mergeCell ref="D2:D3"/>
    <mergeCell ref="E2:F3"/>
    <mergeCell ref="G2:H3"/>
    <mergeCell ref="I2:I3"/>
    <mergeCell ref="J2:L3"/>
    <mergeCell ref="A4:C5"/>
    <mergeCell ref="E4:F5"/>
    <mergeCell ref="G4:H5"/>
    <mergeCell ref="I4:I5"/>
    <mergeCell ref="D4:D5"/>
    <mergeCell ref="J8:L9"/>
    <mergeCell ref="A6:C7"/>
    <mergeCell ref="D6:D7"/>
    <mergeCell ref="E6:F7"/>
    <mergeCell ref="G6:H7"/>
    <mergeCell ref="I6:I7"/>
    <mergeCell ref="J6:L7"/>
    <mergeCell ref="D24:G24"/>
    <mergeCell ref="A8:C9"/>
    <mergeCell ref="E8:F9"/>
    <mergeCell ref="G8:H9"/>
    <mergeCell ref="I8:I9"/>
    <mergeCell ref="D8:D9"/>
    <mergeCell ref="H10:J10"/>
    <mergeCell ref="K10:L10"/>
    <mergeCell ref="D12:G12"/>
    <mergeCell ref="D14:G14"/>
    <mergeCell ref="D16:G16"/>
    <mergeCell ref="D78:G78"/>
    <mergeCell ref="D26:G26"/>
    <mergeCell ref="D29:G29"/>
    <mergeCell ref="D32:G32"/>
    <mergeCell ref="D37:G37"/>
    <mergeCell ref="D39:G39"/>
    <mergeCell ref="D42:G42"/>
    <mergeCell ref="D45:G45"/>
    <mergeCell ref="D49:G49"/>
    <mergeCell ref="D53:G53"/>
    <mergeCell ref="D57:G57"/>
    <mergeCell ref="D76:G76"/>
    <mergeCell ref="D81:G81"/>
    <mergeCell ref="D83:G83"/>
    <mergeCell ref="D85:G85"/>
    <mergeCell ref="H119:I119"/>
    <mergeCell ref="A121:L121"/>
  </mergeCells>
  <pageMargins left="0.39400000000000002" right="0.39400000000000002" top="0.59099999999999997" bottom="0.59099999999999997" header="0.5" footer="0.5"/>
  <pageSetup paperSize="9" scale="8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34" workbookViewId="0">
      <selection activeCell="E8" sqref="E8:G9"/>
    </sheetView>
  </sheetViews>
  <sheetFormatPr defaultRowHeight="12.75"/>
  <cols>
    <col min="1" max="2" width="16.5703125" customWidth="1"/>
    <col min="3" max="3" width="41.7109375" customWidth="1"/>
    <col min="4" max="4" width="22.140625" customWidth="1"/>
    <col min="5" max="5" width="21" customWidth="1"/>
    <col min="6" max="6" width="20.85546875" customWidth="1"/>
    <col min="7" max="7" width="19.7109375" customWidth="1"/>
    <col min="8" max="9" width="0" hidden="1" customWidth="1"/>
  </cols>
  <sheetData>
    <row r="1" spans="1:9" ht="72.95" customHeight="1">
      <c r="A1" s="83" t="s">
        <v>364</v>
      </c>
      <c r="B1" s="84"/>
      <c r="C1" s="84"/>
      <c r="D1" s="84"/>
      <c r="E1" s="84"/>
      <c r="F1" s="84"/>
      <c r="G1" s="84"/>
    </row>
    <row r="2" spans="1:9">
      <c r="A2" s="85" t="s">
        <v>1</v>
      </c>
      <c r="B2" s="87" t="s">
        <v>190</v>
      </c>
      <c r="C2" s="66"/>
      <c r="D2" s="90" t="s">
        <v>319</v>
      </c>
      <c r="E2" s="91" t="s">
        <v>415</v>
      </c>
      <c r="F2" s="92"/>
      <c r="G2" s="95"/>
      <c r="H2" s="29"/>
    </row>
    <row r="3" spans="1:9">
      <c r="A3" s="82"/>
      <c r="B3" s="88"/>
      <c r="C3" s="88"/>
      <c r="D3" s="68"/>
      <c r="E3" s="81"/>
      <c r="F3" s="81"/>
      <c r="G3" s="96"/>
      <c r="H3" s="29"/>
    </row>
    <row r="4" spans="1:9">
      <c r="A4" s="74" t="s">
        <v>2</v>
      </c>
      <c r="B4" s="79" t="s">
        <v>413</v>
      </c>
      <c r="C4" s="81"/>
      <c r="D4" s="67" t="s">
        <v>320</v>
      </c>
      <c r="E4" s="79" t="s">
        <v>417</v>
      </c>
      <c r="F4" s="81"/>
      <c r="G4" s="96"/>
      <c r="H4" s="29"/>
    </row>
    <row r="5" spans="1:9">
      <c r="A5" s="82"/>
      <c r="B5" s="81"/>
      <c r="C5" s="81"/>
      <c r="D5" s="68"/>
      <c r="E5" s="81"/>
      <c r="F5" s="81"/>
      <c r="G5" s="96"/>
      <c r="H5" s="29"/>
    </row>
    <row r="6" spans="1:9">
      <c r="A6" s="74" t="s">
        <v>3</v>
      </c>
      <c r="B6" s="67" t="s">
        <v>191</v>
      </c>
      <c r="C6" s="68"/>
      <c r="D6" s="67" t="s">
        <v>321</v>
      </c>
      <c r="E6" s="67"/>
      <c r="F6" s="68"/>
      <c r="G6" s="93"/>
      <c r="H6" s="29"/>
    </row>
    <row r="7" spans="1:9">
      <c r="A7" s="82"/>
      <c r="B7" s="68"/>
      <c r="C7" s="68"/>
      <c r="D7" s="68"/>
      <c r="E7" s="68"/>
      <c r="F7" s="68"/>
      <c r="G7" s="93"/>
      <c r="H7" s="29"/>
    </row>
    <row r="8" spans="1:9">
      <c r="A8" s="74" t="s">
        <v>322</v>
      </c>
      <c r="B8" s="79" t="s">
        <v>417</v>
      </c>
      <c r="C8" s="81"/>
      <c r="D8" s="77" t="s">
        <v>303</v>
      </c>
      <c r="E8" s="78"/>
      <c r="F8" s="68"/>
      <c r="G8" s="93"/>
      <c r="H8" s="29"/>
    </row>
    <row r="9" spans="1:9" ht="13.5" thickBot="1">
      <c r="A9" s="75"/>
      <c r="B9" s="80"/>
      <c r="C9" s="80"/>
      <c r="D9" s="76"/>
      <c r="E9" s="76"/>
      <c r="F9" s="76"/>
      <c r="G9" s="94"/>
      <c r="H9" s="29"/>
    </row>
    <row r="10" spans="1:9" ht="13.5" thickBot="1">
      <c r="A10" s="37" t="s">
        <v>96</v>
      </c>
      <c r="B10" s="39" t="s">
        <v>97</v>
      </c>
      <c r="C10" s="40" t="s">
        <v>192</v>
      </c>
      <c r="D10" s="41" t="s">
        <v>365</v>
      </c>
      <c r="E10" s="41" t="s">
        <v>366</v>
      </c>
      <c r="F10" s="41" t="s">
        <v>367</v>
      </c>
      <c r="G10" s="44" t="s">
        <v>368</v>
      </c>
      <c r="H10" s="30"/>
    </row>
    <row r="11" spans="1:9">
      <c r="A11" s="38"/>
      <c r="B11" s="38" t="s">
        <v>17</v>
      </c>
      <c r="C11" s="38" t="s">
        <v>194</v>
      </c>
      <c r="D11" s="42"/>
      <c r="E11" s="42"/>
      <c r="F11" s="45">
        <f t="shared" ref="F11:F29" si="0">D11+E11</f>
        <v>0</v>
      </c>
      <c r="G11" s="45">
        <v>0.61950000000000005</v>
      </c>
      <c r="H11" s="31" t="s">
        <v>369</v>
      </c>
      <c r="I11" s="31">
        <f t="shared" ref="I11:I29" si="1">IF(H11="T",0,F11)</f>
        <v>0</v>
      </c>
    </row>
    <row r="12" spans="1:9">
      <c r="A12" s="15"/>
      <c r="B12" s="15" t="s">
        <v>18</v>
      </c>
      <c r="C12" s="15" t="s">
        <v>196</v>
      </c>
      <c r="F12" s="31">
        <f t="shared" si="0"/>
        <v>0</v>
      </c>
      <c r="G12" s="31">
        <v>0</v>
      </c>
      <c r="H12" s="31" t="s">
        <v>369</v>
      </c>
      <c r="I12" s="31">
        <f t="shared" si="1"/>
        <v>0</v>
      </c>
    </row>
    <row r="13" spans="1:9">
      <c r="A13" s="15"/>
      <c r="B13" s="15" t="s">
        <v>19</v>
      </c>
      <c r="C13" s="15" t="s">
        <v>198</v>
      </c>
      <c r="F13" s="31">
        <f t="shared" si="0"/>
        <v>0</v>
      </c>
      <c r="G13" s="31">
        <v>0</v>
      </c>
      <c r="H13" s="31" t="s">
        <v>369</v>
      </c>
      <c r="I13" s="31">
        <f t="shared" si="1"/>
        <v>0</v>
      </c>
    </row>
    <row r="14" spans="1:9">
      <c r="A14" s="15"/>
      <c r="B14" s="15" t="s">
        <v>20</v>
      </c>
      <c r="C14" s="15" t="s">
        <v>206</v>
      </c>
      <c r="F14" s="31">
        <f t="shared" si="0"/>
        <v>0</v>
      </c>
      <c r="G14" s="31">
        <v>0.21923999999999999</v>
      </c>
      <c r="H14" s="31" t="s">
        <v>369</v>
      </c>
      <c r="I14" s="31">
        <f t="shared" si="1"/>
        <v>0</v>
      </c>
    </row>
    <row r="15" spans="1:9">
      <c r="A15" s="15"/>
      <c r="B15" s="15" t="s">
        <v>21</v>
      </c>
      <c r="C15" s="15" t="s">
        <v>208</v>
      </c>
      <c r="F15" s="31">
        <f t="shared" si="0"/>
        <v>0</v>
      </c>
      <c r="G15" s="31">
        <v>1.78708</v>
      </c>
      <c r="H15" s="31" t="s">
        <v>369</v>
      </c>
      <c r="I15" s="31">
        <f t="shared" si="1"/>
        <v>0</v>
      </c>
    </row>
    <row r="16" spans="1:9">
      <c r="A16" s="15"/>
      <c r="B16" s="15" t="s">
        <v>22</v>
      </c>
      <c r="C16" s="15" t="s">
        <v>211</v>
      </c>
      <c r="F16" s="31">
        <f t="shared" si="0"/>
        <v>0</v>
      </c>
      <c r="G16" s="31">
        <v>0</v>
      </c>
      <c r="H16" s="31" t="s">
        <v>369</v>
      </c>
      <c r="I16" s="31">
        <f t="shared" si="1"/>
        <v>0</v>
      </c>
    </row>
    <row r="17" spans="1:9">
      <c r="A17" s="15"/>
      <c r="B17" s="15" t="s">
        <v>23</v>
      </c>
      <c r="C17" s="15" t="s">
        <v>214</v>
      </c>
      <c r="F17" s="31">
        <f t="shared" si="0"/>
        <v>0</v>
      </c>
      <c r="G17" s="31">
        <v>249.9</v>
      </c>
      <c r="H17" s="31" t="s">
        <v>369</v>
      </c>
      <c r="I17" s="31">
        <f t="shared" si="1"/>
        <v>0</v>
      </c>
    </row>
    <row r="18" spans="1:9">
      <c r="A18" s="15"/>
      <c r="B18" s="15" t="s">
        <v>24</v>
      </c>
      <c r="C18" s="15" t="s">
        <v>219</v>
      </c>
      <c r="F18" s="31">
        <f t="shared" si="0"/>
        <v>0</v>
      </c>
      <c r="G18" s="31">
        <v>0</v>
      </c>
      <c r="H18" s="31" t="s">
        <v>369</v>
      </c>
      <c r="I18" s="31">
        <f t="shared" si="1"/>
        <v>0</v>
      </c>
    </row>
    <row r="19" spans="1:9">
      <c r="A19" s="15"/>
      <c r="B19" s="15" t="s">
        <v>51</v>
      </c>
      <c r="C19" s="15" t="s">
        <v>221</v>
      </c>
      <c r="F19" s="31">
        <f t="shared" si="0"/>
        <v>0</v>
      </c>
      <c r="G19" s="31">
        <v>58.883220000000001</v>
      </c>
      <c r="H19" s="31" t="s">
        <v>369</v>
      </c>
      <c r="I19" s="31">
        <f t="shared" si="1"/>
        <v>0</v>
      </c>
    </row>
    <row r="20" spans="1:9">
      <c r="A20" s="15"/>
      <c r="B20" s="15" t="s">
        <v>62</v>
      </c>
      <c r="C20" s="15" t="s">
        <v>224</v>
      </c>
      <c r="F20" s="31">
        <f t="shared" si="0"/>
        <v>0</v>
      </c>
      <c r="G20" s="31">
        <v>16.08888</v>
      </c>
      <c r="H20" s="31" t="s">
        <v>369</v>
      </c>
      <c r="I20" s="31">
        <f t="shared" si="1"/>
        <v>0</v>
      </c>
    </row>
    <row r="21" spans="1:9">
      <c r="A21" s="15"/>
      <c r="B21" s="15" t="s">
        <v>63</v>
      </c>
      <c r="C21" s="15" t="s">
        <v>227</v>
      </c>
      <c r="F21" s="31">
        <f t="shared" si="0"/>
        <v>0</v>
      </c>
      <c r="G21" s="31">
        <v>5.6697600000000001</v>
      </c>
      <c r="H21" s="31" t="s">
        <v>369</v>
      </c>
      <c r="I21" s="31">
        <f t="shared" si="1"/>
        <v>0</v>
      </c>
    </row>
    <row r="22" spans="1:9">
      <c r="A22" s="15"/>
      <c r="B22" s="15" t="s">
        <v>91</v>
      </c>
      <c r="C22" s="15" t="s">
        <v>231</v>
      </c>
      <c r="F22" s="31">
        <f t="shared" si="0"/>
        <v>0</v>
      </c>
      <c r="G22" s="31">
        <v>6.3000000000000003E-4</v>
      </c>
      <c r="H22" s="31" t="s">
        <v>369</v>
      </c>
      <c r="I22" s="31">
        <f t="shared" si="1"/>
        <v>0</v>
      </c>
    </row>
    <row r="23" spans="1:9">
      <c r="A23" s="15"/>
      <c r="B23" s="15" t="s">
        <v>93</v>
      </c>
      <c r="C23" s="15" t="s">
        <v>235</v>
      </c>
      <c r="F23" s="31">
        <f t="shared" si="0"/>
        <v>0</v>
      </c>
      <c r="G23" s="31">
        <v>3.7100000000000001E-2</v>
      </c>
      <c r="H23" s="31" t="s">
        <v>369</v>
      </c>
      <c r="I23" s="31">
        <f t="shared" si="1"/>
        <v>0</v>
      </c>
    </row>
    <row r="24" spans="1:9">
      <c r="A24" s="15"/>
      <c r="B24" s="15" t="s">
        <v>130</v>
      </c>
      <c r="C24" s="15" t="s">
        <v>239</v>
      </c>
      <c r="F24" s="31">
        <f t="shared" si="0"/>
        <v>0</v>
      </c>
      <c r="G24" s="31">
        <v>40.214930000000003</v>
      </c>
      <c r="H24" s="31" t="s">
        <v>369</v>
      </c>
      <c r="I24" s="31">
        <f t="shared" si="1"/>
        <v>0</v>
      </c>
    </row>
    <row r="25" spans="1:9">
      <c r="A25" s="15"/>
      <c r="B25" s="15" t="s">
        <v>149</v>
      </c>
      <c r="C25" s="15" t="s">
        <v>258</v>
      </c>
      <c r="F25" s="31">
        <f t="shared" si="0"/>
        <v>0</v>
      </c>
      <c r="G25" s="31">
        <v>0</v>
      </c>
      <c r="H25" s="31" t="s">
        <v>369</v>
      </c>
      <c r="I25" s="31">
        <f t="shared" si="1"/>
        <v>0</v>
      </c>
    </row>
    <row r="26" spans="1:9">
      <c r="A26" s="15"/>
      <c r="B26" s="15" t="s">
        <v>151</v>
      </c>
      <c r="C26" s="15" t="s">
        <v>260</v>
      </c>
      <c r="F26" s="31">
        <f t="shared" si="0"/>
        <v>0</v>
      </c>
      <c r="G26" s="31">
        <v>27.477810000000002</v>
      </c>
      <c r="H26" s="31" t="s">
        <v>369</v>
      </c>
      <c r="I26" s="31">
        <f t="shared" si="1"/>
        <v>0</v>
      </c>
    </row>
    <row r="27" spans="1:9">
      <c r="A27" s="15"/>
      <c r="B27" s="15" t="s">
        <v>154</v>
      </c>
      <c r="C27" s="15" t="s">
        <v>263</v>
      </c>
      <c r="F27" s="31">
        <f t="shared" si="0"/>
        <v>0</v>
      </c>
      <c r="G27" s="31">
        <v>24.5</v>
      </c>
      <c r="H27" s="31" t="s">
        <v>369</v>
      </c>
      <c r="I27" s="31">
        <f t="shared" si="1"/>
        <v>0</v>
      </c>
    </row>
    <row r="28" spans="1:9">
      <c r="A28" s="15"/>
      <c r="B28" s="15" t="s">
        <v>156</v>
      </c>
      <c r="C28" s="15" t="s">
        <v>265</v>
      </c>
      <c r="F28" s="31">
        <f t="shared" si="0"/>
        <v>0</v>
      </c>
      <c r="G28" s="31">
        <v>0</v>
      </c>
      <c r="H28" s="31" t="s">
        <v>369</v>
      </c>
      <c r="I28" s="31">
        <f t="shared" si="1"/>
        <v>0</v>
      </c>
    </row>
    <row r="29" spans="1:9">
      <c r="A29" s="15"/>
      <c r="B29" s="15"/>
      <c r="C29" s="15" t="s">
        <v>267</v>
      </c>
      <c r="F29" s="31">
        <f t="shared" si="0"/>
        <v>0</v>
      </c>
      <c r="G29" s="31">
        <v>39.436819999999997</v>
      </c>
      <c r="H29" s="31" t="s">
        <v>369</v>
      </c>
      <c r="I29" s="31">
        <f t="shared" si="1"/>
        <v>0</v>
      </c>
    </row>
    <row r="31" spans="1:9">
      <c r="E31" s="43" t="s">
        <v>318</v>
      </c>
      <c r="F31" s="36">
        <f>SUM(I11:I29)</f>
        <v>0</v>
      </c>
    </row>
  </sheetData>
  <mergeCells count="17">
    <mergeCell ref="A1:G1"/>
    <mergeCell ref="A2:A3"/>
    <mergeCell ref="B2:C3"/>
    <mergeCell ref="D2:D3"/>
    <mergeCell ref="A4:A5"/>
    <mergeCell ref="D4:D5"/>
    <mergeCell ref="B4:C5"/>
    <mergeCell ref="E2:G3"/>
    <mergeCell ref="E4:G5"/>
    <mergeCell ref="A6:A7"/>
    <mergeCell ref="B6:C7"/>
    <mergeCell ref="D6:D7"/>
    <mergeCell ref="E6:G7"/>
    <mergeCell ref="A8:A9"/>
    <mergeCell ref="D8:D9"/>
    <mergeCell ref="E8:G9"/>
    <mergeCell ref="B8:C9"/>
  </mergeCells>
  <pageMargins left="0.39400000000000002" right="0.39400000000000002" top="0.59099999999999997" bottom="0.59099999999999997" header="0.5" footer="0.5"/>
  <pageSetup paperSize="9" scale="8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A56" workbookViewId="0">
      <selection activeCell="I10" sqref="I10:I11"/>
    </sheetView>
  </sheetViews>
  <sheetFormatPr defaultRowHeight="12.7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>
      <c r="A1" s="62"/>
      <c r="B1" s="46"/>
      <c r="C1" s="122" t="s">
        <v>384</v>
      </c>
      <c r="D1" s="123"/>
      <c r="E1" s="123"/>
      <c r="F1" s="123"/>
      <c r="G1" s="123"/>
      <c r="H1" s="123"/>
      <c r="I1" s="123"/>
    </row>
    <row r="2" spans="1:10">
      <c r="A2" s="85" t="s">
        <v>1</v>
      </c>
      <c r="B2" s="86"/>
      <c r="C2" s="87" t="s">
        <v>190</v>
      </c>
      <c r="D2" s="66"/>
      <c r="E2" s="90" t="s">
        <v>319</v>
      </c>
      <c r="F2" s="91" t="s">
        <v>415</v>
      </c>
      <c r="G2" s="92"/>
      <c r="H2" s="90" t="s">
        <v>409</v>
      </c>
      <c r="I2" s="124"/>
      <c r="J2" s="29"/>
    </row>
    <row r="3" spans="1:10">
      <c r="A3" s="82"/>
      <c r="B3" s="68"/>
      <c r="C3" s="88"/>
      <c r="D3" s="88"/>
      <c r="E3" s="68"/>
      <c r="F3" s="81"/>
      <c r="G3" s="81"/>
      <c r="H3" s="68"/>
      <c r="I3" s="93"/>
      <c r="J3" s="29"/>
    </row>
    <row r="4" spans="1:10">
      <c r="A4" s="74" t="s">
        <v>2</v>
      </c>
      <c r="B4" s="68"/>
      <c r="C4" s="79" t="s">
        <v>413</v>
      </c>
      <c r="D4" s="81"/>
      <c r="E4" s="67" t="s">
        <v>320</v>
      </c>
      <c r="F4" s="79" t="s">
        <v>418</v>
      </c>
      <c r="G4" s="81"/>
      <c r="H4" s="67" t="s">
        <v>409</v>
      </c>
      <c r="I4" s="121" t="s">
        <v>419</v>
      </c>
      <c r="J4" s="29"/>
    </row>
    <row r="5" spans="1:10">
      <c r="A5" s="82"/>
      <c r="B5" s="68"/>
      <c r="C5" s="81"/>
      <c r="D5" s="81"/>
      <c r="E5" s="68"/>
      <c r="F5" s="81"/>
      <c r="G5" s="81"/>
      <c r="H5" s="68"/>
      <c r="I5" s="93"/>
      <c r="J5" s="29"/>
    </row>
    <row r="6" spans="1:10">
      <c r="A6" s="74" t="s">
        <v>3</v>
      </c>
      <c r="B6" s="68"/>
      <c r="C6" s="67" t="s">
        <v>191</v>
      </c>
      <c r="D6" s="68"/>
      <c r="E6" s="67" t="s">
        <v>321</v>
      </c>
      <c r="F6" s="67"/>
      <c r="G6" s="68"/>
      <c r="H6" s="67" t="s">
        <v>409</v>
      </c>
      <c r="I6" s="121"/>
      <c r="J6" s="29"/>
    </row>
    <row r="7" spans="1:10">
      <c r="A7" s="82"/>
      <c r="B7" s="68"/>
      <c r="C7" s="68"/>
      <c r="D7" s="68"/>
      <c r="E7" s="68"/>
      <c r="F7" s="68"/>
      <c r="G7" s="68"/>
      <c r="H7" s="68"/>
      <c r="I7" s="93"/>
      <c r="J7" s="29"/>
    </row>
    <row r="8" spans="1:10">
      <c r="A8" s="74" t="s">
        <v>301</v>
      </c>
      <c r="B8" s="68"/>
      <c r="C8" s="78"/>
      <c r="D8" s="68"/>
      <c r="E8" s="67" t="s">
        <v>302</v>
      </c>
      <c r="F8" s="68"/>
      <c r="G8" s="68"/>
      <c r="H8" s="77" t="s">
        <v>410</v>
      </c>
      <c r="I8" s="121" t="s">
        <v>94</v>
      </c>
      <c r="J8" s="29"/>
    </row>
    <row r="9" spans="1:10">
      <c r="A9" s="82"/>
      <c r="B9" s="68"/>
      <c r="C9" s="68"/>
      <c r="D9" s="68"/>
      <c r="E9" s="68"/>
      <c r="F9" s="68"/>
      <c r="G9" s="68"/>
      <c r="H9" s="68"/>
      <c r="I9" s="93"/>
      <c r="J9" s="29"/>
    </row>
    <row r="10" spans="1:10">
      <c r="A10" s="74" t="s">
        <v>4</v>
      </c>
      <c r="B10" s="68"/>
      <c r="C10" s="79" t="s">
        <v>414</v>
      </c>
      <c r="D10" s="81"/>
      <c r="E10" s="67" t="s">
        <v>322</v>
      </c>
      <c r="F10" s="79" t="s">
        <v>418</v>
      </c>
      <c r="G10" s="81"/>
      <c r="H10" s="77" t="s">
        <v>411</v>
      </c>
      <c r="I10" s="119"/>
      <c r="J10" s="29"/>
    </row>
    <row r="11" spans="1:10">
      <c r="A11" s="117"/>
      <c r="B11" s="118"/>
      <c r="C11" s="97"/>
      <c r="D11" s="97"/>
      <c r="E11" s="118"/>
      <c r="F11" s="81"/>
      <c r="G11" s="81"/>
      <c r="H11" s="118"/>
      <c r="I11" s="120"/>
      <c r="J11" s="29"/>
    </row>
    <row r="12" spans="1:10" ht="23.45" customHeight="1">
      <c r="A12" s="113" t="s">
        <v>370</v>
      </c>
      <c r="B12" s="114"/>
      <c r="C12" s="114"/>
      <c r="D12" s="114"/>
      <c r="E12" s="114"/>
      <c r="F12" s="114"/>
      <c r="G12" s="114"/>
      <c r="H12" s="114"/>
      <c r="I12" s="114"/>
    </row>
    <row r="13" spans="1:10" ht="26.45" customHeight="1">
      <c r="A13" s="47" t="s">
        <v>371</v>
      </c>
      <c r="B13" s="115" t="s">
        <v>382</v>
      </c>
      <c r="C13" s="116"/>
      <c r="D13" s="47" t="s">
        <v>385</v>
      </c>
      <c r="E13" s="115" t="s">
        <v>394</v>
      </c>
      <c r="F13" s="116"/>
      <c r="G13" s="47" t="s">
        <v>395</v>
      </c>
      <c r="H13" s="115" t="s">
        <v>412</v>
      </c>
      <c r="I13" s="116"/>
      <c r="J13" s="29"/>
    </row>
    <row r="14" spans="1:10" ht="15.2" customHeight="1">
      <c r="A14" s="48" t="s">
        <v>372</v>
      </c>
      <c r="B14" s="52" t="s">
        <v>383</v>
      </c>
      <c r="C14" s="55">
        <f>SUM('Stavební rozpočet'!Q12:Q118)</f>
        <v>0</v>
      </c>
      <c r="D14" s="111" t="s">
        <v>386</v>
      </c>
      <c r="E14" s="112"/>
      <c r="F14" s="55">
        <v>0</v>
      </c>
      <c r="G14" s="111" t="s">
        <v>396</v>
      </c>
      <c r="H14" s="112"/>
      <c r="I14" s="55">
        <v>0</v>
      </c>
      <c r="J14" s="29"/>
    </row>
    <row r="15" spans="1:10" ht="15.2" customHeight="1">
      <c r="A15" s="49"/>
      <c r="B15" s="52" t="s">
        <v>323</v>
      </c>
      <c r="C15" s="55">
        <f>SUM('Stavební rozpočet'!R12:R118)</f>
        <v>0</v>
      </c>
      <c r="D15" s="111" t="s">
        <v>387</v>
      </c>
      <c r="E15" s="112"/>
      <c r="F15" s="55">
        <v>0</v>
      </c>
      <c r="G15" s="111" t="s">
        <v>397</v>
      </c>
      <c r="H15" s="112"/>
      <c r="I15" s="55">
        <v>0</v>
      </c>
      <c r="J15" s="29"/>
    </row>
    <row r="16" spans="1:10" ht="15.2" customHeight="1">
      <c r="A16" s="48" t="s">
        <v>373</v>
      </c>
      <c r="B16" s="52" t="s">
        <v>383</v>
      </c>
      <c r="C16" s="55">
        <f>SUM('Stavební rozpočet'!S12:S118)</f>
        <v>0</v>
      </c>
      <c r="D16" s="111" t="s">
        <v>388</v>
      </c>
      <c r="E16" s="112"/>
      <c r="F16" s="55">
        <v>0</v>
      </c>
      <c r="G16" s="111" t="s">
        <v>398</v>
      </c>
      <c r="H16" s="112"/>
      <c r="I16" s="55">
        <v>0</v>
      </c>
      <c r="J16" s="29"/>
    </row>
    <row r="17" spans="1:10" ht="15.2" customHeight="1">
      <c r="A17" s="49"/>
      <c r="B17" s="52" t="s">
        <v>323</v>
      </c>
      <c r="C17" s="55">
        <f>SUM('Stavební rozpočet'!T12:T118)</f>
        <v>0</v>
      </c>
      <c r="D17" s="111"/>
      <c r="E17" s="112"/>
      <c r="F17" s="56"/>
      <c r="G17" s="111" t="s">
        <v>399</v>
      </c>
      <c r="H17" s="112"/>
      <c r="I17" s="55">
        <v>0</v>
      </c>
      <c r="J17" s="29"/>
    </row>
    <row r="18" spans="1:10" ht="15.2" customHeight="1">
      <c r="A18" s="48" t="s">
        <v>374</v>
      </c>
      <c r="B18" s="52" t="s">
        <v>383</v>
      </c>
      <c r="C18" s="55">
        <f>SUM('Stavební rozpočet'!U12:U118)</f>
        <v>0</v>
      </c>
      <c r="D18" s="111"/>
      <c r="E18" s="112"/>
      <c r="F18" s="56"/>
      <c r="G18" s="111" t="s">
        <v>400</v>
      </c>
      <c r="H18" s="112"/>
      <c r="I18" s="55">
        <v>0</v>
      </c>
      <c r="J18" s="29"/>
    </row>
    <row r="19" spans="1:10" ht="15.2" customHeight="1">
      <c r="A19" s="49"/>
      <c r="B19" s="52" t="s">
        <v>323</v>
      </c>
      <c r="C19" s="55">
        <f>SUM('Stavební rozpočet'!V12:V118)</f>
        <v>0</v>
      </c>
      <c r="D19" s="111"/>
      <c r="E19" s="112"/>
      <c r="F19" s="56"/>
      <c r="G19" s="111" t="s">
        <v>401</v>
      </c>
      <c r="H19" s="112"/>
      <c r="I19" s="55">
        <v>0</v>
      </c>
      <c r="J19" s="29"/>
    </row>
    <row r="20" spans="1:10" ht="15.2" customHeight="1">
      <c r="A20" s="109" t="s">
        <v>267</v>
      </c>
      <c r="B20" s="110"/>
      <c r="C20" s="55">
        <f>SUM('Stavební rozpočet'!W12:W118)</f>
        <v>0</v>
      </c>
      <c r="D20" s="111"/>
      <c r="E20" s="112"/>
      <c r="F20" s="56"/>
      <c r="G20" s="111"/>
      <c r="H20" s="112"/>
      <c r="I20" s="56"/>
      <c r="J20" s="29"/>
    </row>
    <row r="21" spans="1:10" ht="15.2" customHeight="1">
      <c r="A21" s="109" t="s">
        <v>375</v>
      </c>
      <c r="B21" s="110"/>
      <c r="C21" s="55">
        <f>SUM('Stavební rozpočet'!O12:O118)</f>
        <v>0</v>
      </c>
      <c r="D21" s="111"/>
      <c r="E21" s="112"/>
      <c r="F21" s="56"/>
      <c r="G21" s="111"/>
      <c r="H21" s="112"/>
      <c r="I21" s="56"/>
      <c r="J21" s="29"/>
    </row>
    <row r="22" spans="1:10" ht="16.7" customHeight="1">
      <c r="A22" s="109" t="s">
        <v>376</v>
      </c>
      <c r="B22" s="110"/>
      <c r="C22" s="55">
        <f>SUM(C14:C21)</f>
        <v>0</v>
      </c>
      <c r="D22" s="109" t="s">
        <v>389</v>
      </c>
      <c r="E22" s="110"/>
      <c r="F22" s="55">
        <f>SUM(F14:F21)</f>
        <v>0</v>
      </c>
      <c r="G22" s="109" t="s">
        <v>402</v>
      </c>
      <c r="H22" s="110"/>
      <c r="I22" s="55">
        <f>SUM(I14:I21)</f>
        <v>0</v>
      </c>
      <c r="J22" s="29"/>
    </row>
    <row r="23" spans="1:10" ht="15.2" customHeight="1">
      <c r="A23" s="8"/>
      <c r="B23" s="8"/>
      <c r="C23" s="53"/>
      <c r="D23" s="109" t="s">
        <v>390</v>
      </c>
      <c r="E23" s="110"/>
      <c r="F23" s="57">
        <v>0</v>
      </c>
      <c r="G23" s="109" t="s">
        <v>403</v>
      </c>
      <c r="H23" s="110"/>
      <c r="I23" s="55">
        <v>0</v>
      </c>
      <c r="J23" s="29"/>
    </row>
    <row r="24" spans="1:10" ht="15.2" customHeight="1">
      <c r="D24" s="8"/>
      <c r="E24" s="8"/>
      <c r="F24" s="58"/>
      <c r="G24" s="109" t="s">
        <v>404</v>
      </c>
      <c r="H24" s="110"/>
      <c r="I24" s="60"/>
    </row>
    <row r="25" spans="1:10" ht="15.2" customHeight="1">
      <c r="F25" s="59"/>
      <c r="G25" s="109" t="s">
        <v>405</v>
      </c>
      <c r="H25" s="110"/>
      <c r="I25" s="55">
        <v>0</v>
      </c>
      <c r="J25" s="29"/>
    </row>
    <row r="26" spans="1:10">
      <c r="A26" s="46"/>
      <c r="B26" s="46"/>
      <c r="C26" s="46"/>
      <c r="G26" s="8"/>
      <c r="H26" s="8"/>
      <c r="I26" s="8"/>
    </row>
    <row r="27" spans="1:10" ht="15.2" customHeight="1">
      <c r="A27" s="104" t="s">
        <v>377</v>
      </c>
      <c r="B27" s="105"/>
      <c r="C27" s="61">
        <f>SUM('Stavební rozpočet'!Y12:Y118)</f>
        <v>0</v>
      </c>
      <c r="D27" s="54"/>
      <c r="E27" s="46"/>
      <c r="F27" s="46"/>
      <c r="G27" s="46"/>
      <c r="H27" s="46"/>
      <c r="I27" s="46"/>
    </row>
    <row r="28" spans="1:10" ht="15.2" customHeight="1">
      <c r="A28" s="104" t="s">
        <v>378</v>
      </c>
      <c r="B28" s="105"/>
      <c r="C28" s="61">
        <f>SUM('Stavební rozpočet'!Z12:Z118)</f>
        <v>0</v>
      </c>
      <c r="D28" s="104" t="s">
        <v>391</v>
      </c>
      <c r="E28" s="105"/>
      <c r="F28" s="61">
        <f>ROUND(C28*(15/100),2)</f>
        <v>0</v>
      </c>
      <c r="G28" s="104" t="s">
        <v>406</v>
      </c>
      <c r="H28" s="105"/>
      <c r="I28" s="61">
        <f>SUM(C27:C29)</f>
        <v>0</v>
      </c>
      <c r="J28" s="29"/>
    </row>
    <row r="29" spans="1:10" ht="15.2" customHeight="1">
      <c r="A29" s="104" t="s">
        <v>379</v>
      </c>
      <c r="B29" s="105"/>
      <c r="C29" s="61">
        <f>SUM('Stavební rozpočet'!AA12:AA118)+(F22+I22+F23+I23+I24+I25)</f>
        <v>0</v>
      </c>
      <c r="D29" s="104" t="s">
        <v>392</v>
      </c>
      <c r="E29" s="105"/>
      <c r="F29" s="61">
        <f>ROUND(C29*(21/100),2)</f>
        <v>0</v>
      </c>
      <c r="G29" s="104" t="s">
        <v>407</v>
      </c>
      <c r="H29" s="105"/>
      <c r="I29" s="61">
        <f>SUM(F28:F29)+I28</f>
        <v>0</v>
      </c>
      <c r="J29" s="29"/>
    </row>
    <row r="30" spans="1:10">
      <c r="A30" s="50"/>
      <c r="B30" s="50"/>
      <c r="C30" s="50"/>
      <c r="D30" s="50"/>
      <c r="E30" s="50"/>
      <c r="F30" s="50"/>
      <c r="G30" s="50"/>
      <c r="H30" s="50"/>
      <c r="I30" s="50"/>
    </row>
    <row r="31" spans="1:10" ht="14.45" customHeight="1">
      <c r="A31" s="106" t="s">
        <v>380</v>
      </c>
      <c r="B31" s="107"/>
      <c r="C31" s="108"/>
      <c r="D31" s="106" t="s">
        <v>393</v>
      </c>
      <c r="E31" s="107"/>
      <c r="F31" s="108"/>
      <c r="G31" s="106" t="s">
        <v>408</v>
      </c>
      <c r="H31" s="107"/>
      <c r="I31" s="108"/>
      <c r="J31" s="30"/>
    </row>
    <row r="32" spans="1:10" ht="14.45" customHeight="1">
      <c r="A32" s="98"/>
      <c r="B32" s="99"/>
      <c r="C32" s="100"/>
      <c r="D32" s="98"/>
      <c r="E32" s="99"/>
      <c r="F32" s="100"/>
      <c r="G32" s="98"/>
      <c r="H32" s="99"/>
      <c r="I32" s="100"/>
      <c r="J32" s="30"/>
    </row>
    <row r="33" spans="1:10" ht="14.45" customHeight="1">
      <c r="A33" s="98"/>
      <c r="B33" s="99"/>
      <c r="C33" s="100"/>
      <c r="D33" s="98"/>
      <c r="E33" s="99"/>
      <c r="F33" s="100"/>
      <c r="G33" s="98"/>
      <c r="H33" s="99"/>
      <c r="I33" s="100"/>
      <c r="J33" s="30"/>
    </row>
    <row r="34" spans="1:10" ht="14.45" customHeight="1">
      <c r="A34" s="98"/>
      <c r="B34" s="99"/>
      <c r="C34" s="100"/>
      <c r="D34" s="98"/>
      <c r="E34" s="99"/>
      <c r="F34" s="100"/>
      <c r="G34" s="98"/>
      <c r="H34" s="99"/>
      <c r="I34" s="100"/>
      <c r="J34" s="30"/>
    </row>
    <row r="35" spans="1:10" ht="14.45" customHeight="1">
      <c r="A35" s="101" t="s">
        <v>381</v>
      </c>
      <c r="B35" s="102"/>
      <c r="C35" s="103"/>
      <c r="D35" s="101" t="s">
        <v>381</v>
      </c>
      <c r="E35" s="102"/>
      <c r="F35" s="103"/>
      <c r="G35" s="101" t="s">
        <v>381</v>
      </c>
      <c r="H35" s="102"/>
      <c r="I35" s="103"/>
      <c r="J35" s="30"/>
    </row>
    <row r="36" spans="1:10" ht="11.25" customHeight="1">
      <c r="A36" s="51" t="s">
        <v>95</v>
      </c>
      <c r="B36" s="42"/>
      <c r="C36" s="42"/>
      <c r="D36" s="42"/>
      <c r="E36" s="42"/>
      <c r="F36" s="42"/>
      <c r="G36" s="42"/>
      <c r="H36" s="42"/>
      <c r="I36" s="42"/>
    </row>
    <row r="37" spans="1:10" ht="409.6" hidden="1" customHeight="1">
      <c r="A37" s="67"/>
      <c r="B37" s="68"/>
      <c r="C37" s="68"/>
      <c r="D37" s="68"/>
      <c r="E37" s="68"/>
      <c r="F37" s="68"/>
      <c r="G37" s="68"/>
      <c r="H37" s="68"/>
      <c r="I37" s="68"/>
    </row>
  </sheetData>
  <mergeCells count="83">
    <mergeCell ref="A4:B5"/>
    <mergeCell ref="E4:E5"/>
    <mergeCell ref="H4:H5"/>
    <mergeCell ref="I4:I5"/>
    <mergeCell ref="C1:I1"/>
    <mergeCell ref="A2:B3"/>
    <mergeCell ref="C2:D3"/>
    <mergeCell ref="E2:E3"/>
    <mergeCell ref="H2:H3"/>
    <mergeCell ref="I2:I3"/>
    <mergeCell ref="I8:I9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A10:B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G33:I33"/>
    <mergeCell ref="A29:B29"/>
    <mergeCell ref="D29:E29"/>
    <mergeCell ref="G29:H29"/>
    <mergeCell ref="A31:C31"/>
    <mergeCell ref="D31:F31"/>
    <mergeCell ref="G31:I31"/>
    <mergeCell ref="A37:I37"/>
    <mergeCell ref="C4:D5"/>
    <mergeCell ref="C10:D11"/>
    <mergeCell ref="F2:G3"/>
    <mergeCell ref="F4:G5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</mergeCells>
  <pageMargins left="0.91" right="0.39400000000000002" top="0.59099999999999997" bottom="0.59099999999999997" header="0.5" footer="0.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pekarek</cp:lastModifiedBy>
  <cp:lastPrinted>2016-08-16T10:05:17Z</cp:lastPrinted>
  <dcterms:created xsi:type="dcterms:W3CDTF">2016-08-16T09:58:22Z</dcterms:created>
  <dcterms:modified xsi:type="dcterms:W3CDTF">2018-01-08T09:01:42Z</dcterms:modified>
</cp:coreProperties>
</file>